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0"/>
  <workbookPr codeName="ThisWorkbook" defaultThemeVersion="124226"/>
  <mc:AlternateContent xmlns:mc="http://schemas.openxmlformats.org/markup-compatibility/2006">
    <mc:Choice Requires="x15">
      <x15ac:absPath xmlns:x15ac="http://schemas.microsoft.com/office/spreadsheetml/2010/11/ac" url="C:\Users\10054202\Desktop\0927年報!!!!\0912整理年報分送清單&amp;把...改-\107年年報任務_邱紫菱\!!年報try合併\2.舊制更改為新、且儲存格分出0與真-for上網\"/>
    </mc:Choice>
  </mc:AlternateContent>
  <xr:revisionPtr revIDLastSave="0" documentId="13_ncr:1_{4D58E9F1-E781-4DB8-AB2A-15AF794B5797}" xr6:coauthVersionLast="36" xr6:coauthVersionMax="36" xr10:uidLastSave="{00000000-0000-0000-0000-000000000000}"/>
  <bookViews>
    <workbookView xWindow="0" yWindow="45" windowWidth="21840" windowHeight="8655" tabRatio="843" firstSheet="9" activeTab="23" xr2:uid="{00000000-000D-0000-FFFF-FFFF00000000}"/>
  </bookViews>
  <sheets>
    <sheet name="11-1" sheetId="1" r:id="rId1"/>
    <sheet name="11-2" sheetId="2" r:id="rId2"/>
    <sheet name="11-3" sheetId="3" r:id="rId3"/>
    <sheet name="11-3 續1" sheetId="4" r:id="rId4"/>
    <sheet name="11-4" sheetId="5" r:id="rId5"/>
    <sheet name="11-5" sheetId="6" r:id="rId6"/>
    <sheet name="11-6" sheetId="7" r:id="rId7"/>
    <sheet name="11-6 續1" sheetId="8" r:id="rId8"/>
    <sheet name="11-6 續2完" sheetId="9" r:id="rId9"/>
    <sheet name="11-7" sheetId="10" r:id="rId10"/>
    <sheet name="11-8" sheetId="37" r:id="rId11"/>
    <sheet name="11-8 續 " sheetId="38" r:id="rId12"/>
    <sheet name="11-9" sheetId="39" r:id="rId13"/>
    <sheet name="11-10 " sheetId="40" r:id="rId14"/>
    <sheet name="11-10續 " sheetId="41" r:id="rId15"/>
    <sheet name="11-11 " sheetId="36" r:id="rId16"/>
    <sheet name="11-12 " sheetId="42" r:id="rId17"/>
    <sheet name="11-12續 " sheetId="43" r:id="rId18"/>
    <sheet name="11-13" sheetId="44" r:id="rId19"/>
    <sheet name="11-14 " sheetId="45" r:id="rId20"/>
    <sheet name="11-15 " sheetId="46" r:id="rId21"/>
    <sheet name="11-15續 " sheetId="47" r:id="rId22"/>
    <sheet name="11-16 " sheetId="48" r:id="rId23"/>
    <sheet name="11-17 " sheetId="50" r:id="rId24"/>
    <sheet name="11-18 " sheetId="63" r:id="rId25"/>
    <sheet name="11-18續" sheetId="61" r:id="rId26"/>
    <sheet name="11-19" sheetId="27" r:id="rId27"/>
    <sheet name="11-20 " sheetId="53" r:id="rId28"/>
    <sheet name="11-20 續1" sheetId="54" r:id="rId29"/>
    <sheet name="11-20續2 " sheetId="55" r:id="rId30"/>
    <sheet name="11-20續3完" sheetId="56" r:id="rId31"/>
    <sheet name="11-21" sheetId="30" r:id="rId32"/>
    <sheet name="11-22" sheetId="31" r:id="rId33"/>
    <sheet name="11-22續" sheetId="32" r:id="rId34"/>
  </sheets>
  <externalReferences>
    <externalReference r:id="rId35"/>
  </externalReferences>
  <definedNames>
    <definedName name="_pp1">#REF!</definedName>
    <definedName name="pp">#REF!</definedName>
    <definedName name="_xlnm.Print_Area" localSheetId="0">'11-1'!$A$1:$Q$18</definedName>
    <definedName name="_xlnm.Print_Area" localSheetId="14">'11-10續 '!$A$1:$N$21</definedName>
    <definedName name="_xlnm.Print_Area" localSheetId="15">'11-11 '!$A$1:$K$28</definedName>
    <definedName name="_xlnm.Print_Area" localSheetId="16">'11-12 '!$A$1:$G$28</definedName>
    <definedName name="_xlnm.Print_Area" localSheetId="17">'11-12續 '!$A$1:$O$20</definedName>
    <definedName name="_xlnm.Print_Area" localSheetId="18">'11-13'!$A$1:$M$18</definedName>
    <definedName name="_xlnm.Print_Area" localSheetId="19">'11-14 '!$A$1:$R$19</definedName>
    <definedName name="_xlnm.Print_Area" localSheetId="20">'11-15 '!$A$1:$Y$26</definedName>
    <definedName name="_xlnm.Print_Area" localSheetId="22">'11-16 '!$A$1:$X$24</definedName>
    <definedName name="_xlnm.Print_Area" localSheetId="23">'11-17 '!$A$1:$V$26</definedName>
    <definedName name="_xlnm.Print_Area" localSheetId="24">'11-18 '!$A$1:$S$37</definedName>
    <definedName name="_xlnm.Print_Area" localSheetId="25">'11-18續'!$A$1:$P$31</definedName>
    <definedName name="_xlnm.Print_Area" localSheetId="26">'11-19'!$A$1:$M$20</definedName>
    <definedName name="_xlnm.Print_Area" localSheetId="1">'11-2'!$A$1:$E$37</definedName>
    <definedName name="_xlnm.Print_Area" localSheetId="27">'11-20 '!$A$1:$P$35</definedName>
    <definedName name="_xlnm.Print_Area" localSheetId="28">'11-20 續1'!$A$1:$P$30</definedName>
    <definedName name="_xlnm.Print_Area" localSheetId="30">'11-20續3完'!$A$1:$P$32</definedName>
    <definedName name="_xlnm.Print_Area" localSheetId="33">'11-22續'!$A$1:$W$19</definedName>
    <definedName name="_xlnm.Print_Area" localSheetId="2">'11-3'!$A$1:$D$22</definedName>
    <definedName name="_xlnm.Print_Area" localSheetId="3">'11-3 續1'!$A$1:$O$17</definedName>
    <definedName name="_xlnm.Print_Area" localSheetId="4">'11-4'!$A$1:$T$47</definedName>
    <definedName name="_xlnm.Print_Area" localSheetId="5">'11-5'!$A$1:$W$35</definedName>
    <definedName name="_xlnm.Print_Area" localSheetId="6">'11-6'!$A$1:$U$34</definedName>
    <definedName name="_xlnm.Print_Area" localSheetId="7">'11-6 續1'!$A$1:$S$31</definedName>
    <definedName name="_xlnm.Print_Area" localSheetId="8">'11-6 續2完'!$A$1:$Y$32</definedName>
    <definedName name="_xlnm.Print_Area" localSheetId="10">'11-8'!$A$1:$P$26</definedName>
    <definedName name="_xlnm.Print_Area" localSheetId="11">'11-8 續 '!$A$1:$M$19</definedName>
    <definedName name="_xlnm.Print_Area" localSheetId="12">'11-9'!$A$1:$W$26</definedName>
  </definedNames>
  <calcPr calcId="191029"/>
</workbook>
</file>

<file path=xl/calcChain.xml><?xml version="1.0" encoding="utf-8"?>
<calcChain xmlns="http://schemas.openxmlformats.org/spreadsheetml/2006/main">
  <c r="E24" i="50" l="1"/>
  <c r="M17" i="27" l="1"/>
  <c r="S30" i="63"/>
  <c r="M30" i="63"/>
  <c r="L30" i="63"/>
  <c r="K30" i="63"/>
  <c r="J30" i="63"/>
  <c r="I30" i="63"/>
  <c r="H30" i="63"/>
  <c r="G30" i="63"/>
  <c r="F30" i="63"/>
  <c r="B24" i="50"/>
  <c r="C24" i="50"/>
  <c r="F24" i="50"/>
  <c r="Q24" i="50" l="1"/>
  <c r="M24" i="50" s="1"/>
  <c r="D24" i="50" s="1"/>
  <c r="E17" i="39" l="1"/>
  <c r="P19" i="37"/>
  <c r="O19" i="37"/>
  <c r="F23" i="50" l="1"/>
  <c r="H19" i="31" l="1"/>
  <c r="H20" i="31"/>
  <c r="G20" i="31"/>
  <c r="K19" i="32"/>
  <c r="B19" i="32"/>
  <c r="L20" i="31"/>
  <c r="B20" i="31"/>
  <c r="L30" i="61"/>
  <c r="J30" i="61"/>
  <c r="H30" i="61"/>
  <c r="D30" i="61"/>
  <c r="C30" i="61"/>
  <c r="B30" i="61"/>
  <c r="D30" i="63" l="1"/>
  <c r="I17" i="1" l="1"/>
  <c r="B17" i="1"/>
  <c r="R8" i="4" l="1"/>
  <c r="W8" i="4"/>
  <c r="Z8" i="4"/>
  <c r="AD18" i="9"/>
  <c r="Y17" i="9"/>
  <c r="B17" i="56" l="1"/>
  <c r="B16" i="56" s="1"/>
  <c r="B17" i="55"/>
  <c r="B16" i="55"/>
  <c r="H17" i="53"/>
  <c r="H16" i="53" s="1"/>
  <c r="I17" i="53"/>
  <c r="I16" i="53" s="1"/>
  <c r="K17" i="53"/>
  <c r="K16" i="53" s="1"/>
  <c r="D19" i="53"/>
  <c r="D21" i="53"/>
  <c r="D23" i="53"/>
  <c r="D25" i="53"/>
  <c r="D28" i="53"/>
  <c r="L17" i="27"/>
  <c r="K17" i="27"/>
  <c r="J17" i="27"/>
  <c r="I17" i="27"/>
  <c r="H17" i="27"/>
  <c r="E17" i="27"/>
  <c r="D17" i="27"/>
  <c r="B17" i="27" s="1"/>
  <c r="C17" i="27" l="1"/>
  <c r="P17" i="27"/>
  <c r="W21" i="48"/>
  <c r="V21" i="48"/>
  <c r="U21" i="48"/>
  <c r="T21" i="48"/>
  <c r="S21" i="48"/>
  <c r="R21" i="48"/>
  <c r="O21" i="48" l="1"/>
  <c r="M17" i="47"/>
  <c r="K17" i="47"/>
  <c r="B17" i="47"/>
  <c r="I17" i="47"/>
  <c r="H17" i="47"/>
  <c r="W23" i="46"/>
  <c r="I23" i="46"/>
  <c r="H23" i="46"/>
  <c r="G23" i="46" l="1"/>
  <c r="R18" i="45"/>
  <c r="Q18" i="45"/>
  <c r="P18" i="45"/>
  <c r="O18" i="45"/>
  <c r="M18" i="45"/>
  <c r="K18" i="45"/>
  <c r="I18" i="45"/>
  <c r="H18" i="45"/>
  <c r="G18" i="45"/>
  <c r="F18" i="45"/>
  <c r="E18" i="45"/>
  <c r="D18" i="45"/>
  <c r="B18" i="45"/>
  <c r="M16" i="44"/>
  <c r="K16" i="44"/>
  <c r="J16" i="44"/>
  <c r="H16" i="44"/>
  <c r="E16" i="44" s="1"/>
  <c r="F16" i="44"/>
  <c r="B16" i="44"/>
  <c r="O18" i="43"/>
  <c r="N18" i="43"/>
  <c r="J18" i="45" l="1"/>
  <c r="C18" i="45" s="1"/>
  <c r="M18" i="43"/>
  <c r="L18" i="43"/>
  <c r="I18" i="43"/>
  <c r="H18" i="43"/>
  <c r="G18" i="43" l="1"/>
  <c r="F18" i="43"/>
  <c r="E18" i="43"/>
  <c r="D18" i="43"/>
  <c r="C18" i="43"/>
  <c r="B18" i="43"/>
  <c r="G21" i="42" l="1"/>
  <c r="F21" i="42"/>
  <c r="E21" i="42"/>
  <c r="D21" i="42"/>
  <c r="B21" i="42" s="1"/>
  <c r="K20" i="36"/>
  <c r="I20" i="36"/>
  <c r="H20" i="36"/>
  <c r="F20" i="36"/>
  <c r="E20" i="36"/>
  <c r="D20" i="36"/>
  <c r="C20" i="36"/>
  <c r="B20" i="36"/>
  <c r="G20" i="36" l="1"/>
  <c r="C21" i="42"/>
  <c r="G19" i="36"/>
  <c r="C20" i="40"/>
  <c r="D20" i="40"/>
  <c r="C21" i="40"/>
  <c r="D21" i="40"/>
  <c r="M21" i="41"/>
  <c r="J21" i="41"/>
  <c r="B20" i="40" l="1"/>
  <c r="B21" i="40"/>
  <c r="N21" i="41" s="1"/>
  <c r="I21" i="41"/>
  <c r="E21" i="41"/>
  <c r="Q21" i="40"/>
  <c r="M21" i="40"/>
  <c r="I21" i="40"/>
  <c r="M20" i="41"/>
  <c r="J20" i="41"/>
  <c r="N20" i="41" s="1"/>
  <c r="I20" i="41"/>
  <c r="F20" i="41"/>
  <c r="E20" i="41"/>
  <c r="B20" i="41"/>
  <c r="N21" i="40"/>
  <c r="Q20" i="40"/>
  <c r="N20" i="40"/>
  <c r="M20" i="40"/>
  <c r="J20" i="40"/>
  <c r="I20" i="40"/>
  <c r="F20" i="40"/>
  <c r="W21" i="39"/>
  <c r="W20" i="39"/>
  <c r="W19" i="39"/>
  <c r="W18" i="39"/>
  <c r="V17" i="39"/>
  <c r="U17" i="39"/>
  <c r="T17" i="39"/>
  <c r="E18" i="39"/>
  <c r="E19" i="39"/>
  <c r="E20" i="39"/>
  <c r="E21" i="39"/>
  <c r="C18" i="39"/>
  <c r="C19" i="39"/>
  <c r="C20" i="39"/>
  <c r="C21" i="39"/>
  <c r="C17" i="39"/>
  <c r="E16" i="39"/>
  <c r="C16" i="39"/>
  <c r="E20" i="40" l="1"/>
  <c r="E21" i="40"/>
  <c r="W17" i="39"/>
  <c r="W16" i="39"/>
  <c r="L19" i="38" l="1"/>
  <c r="M19" i="38"/>
  <c r="K19" i="38"/>
  <c r="J19" i="38"/>
  <c r="E19" i="38"/>
  <c r="D19" i="38"/>
  <c r="L19" i="37"/>
  <c r="R18" i="37"/>
  <c r="R19" i="37"/>
  <c r="Q19" i="37"/>
  <c r="N19" i="37"/>
  <c r="M19" i="37"/>
  <c r="Q18" i="37"/>
  <c r="R17" i="37"/>
  <c r="Q17" i="37"/>
  <c r="R16" i="37"/>
  <c r="Q16" i="37"/>
  <c r="R15" i="37"/>
  <c r="Q15" i="37"/>
  <c r="R14" i="37"/>
  <c r="Q14" i="37"/>
  <c r="R13" i="37"/>
  <c r="Q13" i="37"/>
  <c r="R12" i="37"/>
  <c r="Q12" i="37"/>
  <c r="R11" i="37"/>
  <c r="Q11" i="37"/>
  <c r="R10" i="37"/>
  <c r="Q10" i="37"/>
  <c r="B19" i="37" l="1"/>
  <c r="C19" i="37" s="1"/>
  <c r="D19" i="37"/>
  <c r="E19" i="37" s="1"/>
  <c r="I17" i="10"/>
  <c r="G17" i="10"/>
  <c r="E17" i="10"/>
  <c r="AD9" i="9"/>
  <c r="AE9" i="9" s="1"/>
  <c r="Y10" i="9"/>
  <c r="Y9" i="9"/>
  <c r="Y11" i="9"/>
  <c r="Y12" i="9"/>
  <c r="Y13" i="9"/>
  <c r="Y14" i="9"/>
  <c r="Y15" i="9"/>
  <c r="Y16" i="9"/>
  <c r="AD19" i="9"/>
  <c r="AD20" i="9"/>
  <c r="AD21" i="9"/>
  <c r="AD22" i="9"/>
  <c r="AD23" i="9"/>
  <c r="AD24" i="9"/>
  <c r="AD25" i="9"/>
  <c r="AD26" i="9"/>
  <c r="AD27" i="9"/>
  <c r="AD28" i="9"/>
  <c r="AD29" i="9"/>
  <c r="AD30" i="9"/>
  <c r="AD31" i="9"/>
  <c r="AD17" i="9"/>
  <c r="AE17" i="9" s="1"/>
  <c r="AD16" i="9"/>
  <c r="AE16" i="9" s="1"/>
  <c r="AD15" i="9"/>
  <c r="AD14" i="9"/>
  <c r="AD13" i="9"/>
  <c r="AD12" i="9"/>
  <c r="AD11" i="9"/>
  <c r="AD10" i="9"/>
  <c r="G19" i="7"/>
  <c r="F19" i="7"/>
  <c r="AE13" i="9" l="1"/>
  <c r="AE11" i="9"/>
  <c r="AE14" i="9"/>
  <c r="AE15" i="9"/>
  <c r="AE12" i="9"/>
  <c r="AE10" i="9"/>
  <c r="E18" i="6" l="1"/>
  <c r="F18" i="6"/>
  <c r="H43" i="5" l="1"/>
  <c r="I43" i="5"/>
  <c r="J43" i="5"/>
  <c r="K43" i="5"/>
  <c r="L43" i="5"/>
  <c r="M43" i="5"/>
  <c r="N43" i="5"/>
  <c r="O43" i="5"/>
  <c r="P43" i="5"/>
  <c r="Q43" i="5"/>
  <c r="R43" i="5"/>
  <c r="S43" i="5"/>
  <c r="T43" i="5"/>
  <c r="U43" i="5"/>
  <c r="F43" i="5"/>
  <c r="F22" i="5"/>
  <c r="K22" i="5"/>
  <c r="Q22" i="5"/>
  <c r="P22" i="5"/>
  <c r="O22" i="5"/>
  <c r="L22" i="5"/>
  <c r="H22" i="5"/>
  <c r="I22" i="5"/>
  <c r="J22" i="5"/>
  <c r="N22" i="5"/>
  <c r="R22" i="5"/>
  <c r="S22" i="5"/>
  <c r="G23" i="5"/>
  <c r="M23" i="5"/>
  <c r="M22" i="5" s="1"/>
  <c r="G24" i="5"/>
  <c r="M24" i="5"/>
  <c r="M25" i="5"/>
  <c r="F27" i="5"/>
  <c r="H27" i="5"/>
  <c r="I27" i="5"/>
  <c r="J27" i="5"/>
  <c r="J21" i="5" s="1"/>
  <c r="K27" i="5"/>
  <c r="L27" i="5"/>
  <c r="N27" i="5"/>
  <c r="O27" i="5"/>
  <c r="Q27" i="5"/>
  <c r="R27" i="5"/>
  <c r="S27" i="5"/>
  <c r="T27" i="5"/>
  <c r="M28" i="5"/>
  <c r="M29" i="5"/>
  <c r="M30" i="5"/>
  <c r="M31" i="5"/>
  <c r="G32" i="5"/>
  <c r="M32" i="5"/>
  <c r="G33" i="5"/>
  <c r="M33" i="5"/>
  <c r="G34" i="5"/>
  <c r="M34" i="5"/>
  <c r="F35" i="5"/>
  <c r="H35" i="5"/>
  <c r="I35" i="5"/>
  <c r="J35" i="5"/>
  <c r="K35" i="5"/>
  <c r="L35" i="5"/>
  <c r="N35" i="5"/>
  <c r="O35" i="5"/>
  <c r="P35" i="5"/>
  <c r="Q35" i="5"/>
  <c r="R35" i="5"/>
  <c r="S35" i="5"/>
  <c r="T35" i="5"/>
  <c r="G36" i="5"/>
  <c r="M36" i="5"/>
  <c r="G37" i="5"/>
  <c r="M37" i="5"/>
  <c r="G38" i="5"/>
  <c r="M38" i="5"/>
  <c r="G39" i="5"/>
  <c r="M39" i="5"/>
  <c r="G40" i="5"/>
  <c r="M40" i="5"/>
  <c r="G41" i="5"/>
  <c r="M41" i="5"/>
  <c r="G42" i="5"/>
  <c r="M42" i="5"/>
  <c r="G44" i="5"/>
  <c r="G43" i="5" s="1"/>
  <c r="O14" i="5"/>
  <c r="N14" i="5"/>
  <c r="M14" i="5"/>
  <c r="N13" i="5"/>
  <c r="M13" i="5"/>
  <c r="I13" i="5"/>
  <c r="O13" i="5" s="1"/>
  <c r="N11" i="5"/>
  <c r="M11" i="5"/>
  <c r="I11" i="5"/>
  <c r="O11" i="5" s="1"/>
  <c r="C23" i="2"/>
  <c r="C17" i="2"/>
  <c r="E17" i="2"/>
  <c r="G15" i="2"/>
  <c r="E8" i="2"/>
  <c r="C8" i="2"/>
  <c r="E7" i="2"/>
  <c r="C7" i="2"/>
  <c r="G7" i="2" s="1"/>
  <c r="B8" i="53"/>
  <c r="Y8" i="53" s="1"/>
  <c r="C8" i="53"/>
  <c r="Z8" i="53" s="1"/>
  <c r="D8" i="53"/>
  <c r="AA8" i="53" s="1"/>
  <c r="E8" i="53"/>
  <c r="AB8" i="53" s="1"/>
  <c r="F8" i="53"/>
  <c r="AC8" i="53" s="1"/>
  <c r="B9" i="53"/>
  <c r="Y9" i="53" s="1"/>
  <c r="C9" i="53"/>
  <c r="Z9" i="53" s="1"/>
  <c r="D9" i="53"/>
  <c r="AA9" i="53" s="1"/>
  <c r="E9" i="53"/>
  <c r="AB9" i="53" s="1"/>
  <c r="F9" i="53"/>
  <c r="B10" i="53"/>
  <c r="Y10" i="53" s="1"/>
  <c r="C10" i="53"/>
  <c r="Z10" i="53" s="1"/>
  <c r="D10" i="53"/>
  <c r="AA10" i="53" s="1"/>
  <c r="E10" i="53"/>
  <c r="AB10" i="53" s="1"/>
  <c r="F10" i="53"/>
  <c r="AC10" i="53" s="1"/>
  <c r="B11" i="53"/>
  <c r="Y11" i="53" s="1"/>
  <c r="C11" i="53"/>
  <c r="Z11" i="53" s="1"/>
  <c r="D11" i="53"/>
  <c r="AA11" i="53" s="1"/>
  <c r="E11" i="53"/>
  <c r="AB11" i="53" s="1"/>
  <c r="F11" i="53"/>
  <c r="AC11" i="53" s="1"/>
  <c r="B12" i="53"/>
  <c r="Y12" i="53" s="1"/>
  <c r="C12" i="53"/>
  <c r="Z12" i="53" s="1"/>
  <c r="D12" i="53"/>
  <c r="AA12" i="53" s="1"/>
  <c r="E12" i="53"/>
  <c r="AB12" i="53" s="1"/>
  <c r="F12" i="53"/>
  <c r="AC12" i="53" s="1"/>
  <c r="F13" i="53"/>
  <c r="AC13" i="53" s="1"/>
  <c r="F14" i="53"/>
  <c r="AC14" i="53" s="1"/>
  <c r="D7" i="53"/>
  <c r="AA7" i="53" s="1"/>
  <c r="E7" i="53"/>
  <c r="AB7" i="53" s="1"/>
  <c r="F7" i="53"/>
  <c r="AC7" i="53" s="1"/>
  <c r="C7" i="53"/>
  <c r="Z7" i="53" s="1"/>
  <c r="C13" i="53"/>
  <c r="Z13" i="53" s="1"/>
  <c r="D13" i="53"/>
  <c r="AA13" i="53" s="1"/>
  <c r="E13" i="53"/>
  <c r="AB13" i="53" s="1"/>
  <c r="C14" i="53"/>
  <c r="Z14" i="53" s="1"/>
  <c r="D14" i="53"/>
  <c r="AA14" i="53" s="1"/>
  <c r="E14" i="53"/>
  <c r="AB14" i="53" s="1"/>
  <c r="B14" i="53"/>
  <c r="Y14" i="53" s="1"/>
  <c r="B13" i="53"/>
  <c r="Y13" i="53" s="1"/>
  <c r="B7" i="53"/>
  <c r="Y7" i="53" s="1"/>
  <c r="C16" i="27"/>
  <c r="B8" i="27"/>
  <c r="P8" i="27" s="1"/>
  <c r="B9" i="27"/>
  <c r="P9" i="27" s="1"/>
  <c r="B10" i="27"/>
  <c r="P10" i="27" s="1"/>
  <c r="B11" i="27"/>
  <c r="P11" i="27" s="1"/>
  <c r="B12" i="27"/>
  <c r="P12" i="27" s="1"/>
  <c r="B13" i="27"/>
  <c r="P13" i="27" s="1"/>
  <c r="B14" i="27"/>
  <c r="P14" i="27" s="1"/>
  <c r="B15" i="27"/>
  <c r="P15" i="27" s="1"/>
  <c r="B16" i="27"/>
  <c r="P16" i="27" s="1"/>
  <c r="F22" i="50"/>
  <c r="B23" i="50"/>
  <c r="B16" i="1"/>
  <c r="B15" i="1"/>
  <c r="G19" i="46"/>
  <c r="N17" i="40"/>
  <c r="F21" i="7"/>
  <c r="Z9" i="4"/>
  <c r="Z10" i="4"/>
  <c r="Z11" i="4"/>
  <c r="Z12" i="4"/>
  <c r="Z13" i="4"/>
  <c r="Z14" i="4"/>
  <c r="Z15" i="4"/>
  <c r="Z16" i="4"/>
  <c r="Z17" i="4"/>
  <c r="W9" i="4"/>
  <c r="W10" i="4"/>
  <c r="W11" i="4"/>
  <c r="W12" i="4"/>
  <c r="W13" i="4"/>
  <c r="W14" i="4"/>
  <c r="W15" i="4"/>
  <c r="W16" i="4"/>
  <c r="W17" i="4"/>
  <c r="R9" i="4"/>
  <c r="R10" i="4"/>
  <c r="R11" i="4"/>
  <c r="R12" i="4"/>
  <c r="R13" i="4"/>
  <c r="R14" i="4"/>
  <c r="R15" i="4"/>
  <c r="R16" i="4"/>
  <c r="R17" i="4"/>
  <c r="J8" i="2"/>
  <c r="J9" i="2"/>
  <c r="K9" i="2" s="1"/>
  <c r="J10" i="2"/>
  <c r="K10" i="2" s="1"/>
  <c r="J11" i="2"/>
  <c r="K11" i="2"/>
  <c r="J12" i="2"/>
  <c r="K12" i="2" s="1"/>
  <c r="J13" i="2"/>
  <c r="K13" i="2" s="1"/>
  <c r="J14" i="2"/>
  <c r="K14" i="2" s="1"/>
  <c r="J15" i="2"/>
  <c r="K15" i="2" s="1"/>
  <c r="J16" i="2"/>
  <c r="J7" i="2"/>
  <c r="K7" i="2" s="1"/>
  <c r="G10" i="2"/>
  <c r="G11" i="2"/>
  <c r="G12" i="2"/>
  <c r="G13" i="2"/>
  <c r="G14" i="2"/>
  <c r="D18" i="6"/>
  <c r="H18" i="6"/>
  <c r="B19" i="53"/>
  <c r="C19" i="53"/>
  <c r="E19" i="53"/>
  <c r="F19" i="53"/>
  <c r="B21" i="53"/>
  <c r="C21" i="53"/>
  <c r="E21" i="53"/>
  <c r="F21" i="53"/>
  <c r="B23" i="53"/>
  <c r="C23" i="53"/>
  <c r="E23" i="53"/>
  <c r="F23" i="53"/>
  <c r="B25" i="53"/>
  <c r="C25" i="53"/>
  <c r="E25" i="53"/>
  <c r="F25" i="53"/>
  <c r="B28" i="53"/>
  <c r="C28" i="53"/>
  <c r="E28" i="53"/>
  <c r="F28" i="53"/>
  <c r="K17" i="54"/>
  <c r="K16" i="54" s="1"/>
  <c r="D23" i="50"/>
  <c r="C23" i="50"/>
  <c r="C22" i="50"/>
  <c r="B22" i="50"/>
  <c r="K18" i="32"/>
  <c r="B18" i="32"/>
  <c r="L19" i="31"/>
  <c r="B19" i="31"/>
  <c r="C17" i="30"/>
  <c r="C15" i="30"/>
  <c r="C16" i="30"/>
  <c r="D22" i="50"/>
  <c r="U20" i="48"/>
  <c r="S20" i="48"/>
  <c r="O20" i="48"/>
  <c r="C20" i="48"/>
  <c r="B16" i="47"/>
  <c r="G22" i="46"/>
  <c r="C22" i="46"/>
  <c r="J17" i="45"/>
  <c r="C17" i="45" s="1"/>
  <c r="E15" i="44"/>
  <c r="B20" i="42"/>
  <c r="C20" i="42"/>
  <c r="G18" i="36"/>
  <c r="F21" i="41"/>
  <c r="B21" i="41"/>
  <c r="J21" i="40"/>
  <c r="F21" i="40"/>
  <c r="B10" i="32"/>
  <c r="K10" i="32"/>
  <c r="B11" i="32"/>
  <c r="K11" i="32"/>
  <c r="B12" i="32"/>
  <c r="K12" i="32"/>
  <c r="B13" i="32"/>
  <c r="K13" i="32"/>
  <c r="B14" i="32"/>
  <c r="K14" i="32"/>
  <c r="B15" i="32"/>
  <c r="K15" i="32"/>
  <c r="B16" i="32"/>
  <c r="K16" i="32"/>
  <c r="B17" i="32"/>
  <c r="K17" i="32"/>
  <c r="B11" i="31"/>
  <c r="H11" i="31"/>
  <c r="G11" i="31" s="1"/>
  <c r="L11" i="31"/>
  <c r="B12" i="31"/>
  <c r="H12" i="31"/>
  <c r="L12" i="31"/>
  <c r="B13" i="31"/>
  <c r="H13" i="31"/>
  <c r="L13" i="31"/>
  <c r="B14" i="31"/>
  <c r="H14" i="31"/>
  <c r="L14" i="31"/>
  <c r="B15" i="31"/>
  <c r="H15" i="31"/>
  <c r="L15" i="31"/>
  <c r="B16" i="31"/>
  <c r="H16" i="31"/>
  <c r="L16" i="31"/>
  <c r="B17" i="31"/>
  <c r="H17" i="31"/>
  <c r="G17" i="31" s="1"/>
  <c r="B18" i="31"/>
  <c r="H18" i="31"/>
  <c r="L18" i="31"/>
  <c r="C17" i="56"/>
  <c r="C16" i="56" s="1"/>
  <c r="D17" i="56"/>
  <c r="D16" i="56" s="1"/>
  <c r="E17" i="56"/>
  <c r="E16" i="56" s="1"/>
  <c r="F17" i="56"/>
  <c r="F16" i="56" s="1"/>
  <c r="G17" i="56"/>
  <c r="G16" i="56" s="1"/>
  <c r="H17" i="56"/>
  <c r="H16" i="56" s="1"/>
  <c r="I17" i="56"/>
  <c r="I16" i="56" s="1"/>
  <c r="J17" i="56"/>
  <c r="J16" i="56" s="1"/>
  <c r="K17" i="56"/>
  <c r="K16" i="56" s="1"/>
  <c r="L17" i="56"/>
  <c r="L16" i="56" s="1"/>
  <c r="M17" i="56"/>
  <c r="M16" i="56" s="1"/>
  <c r="N17" i="56"/>
  <c r="N16" i="56" s="1"/>
  <c r="O17" i="56"/>
  <c r="O16" i="56" s="1"/>
  <c r="P17" i="56"/>
  <c r="P16" i="56" s="1"/>
  <c r="C17" i="55"/>
  <c r="C16" i="55" s="1"/>
  <c r="D17" i="55"/>
  <c r="D16" i="55" s="1"/>
  <c r="E17" i="55"/>
  <c r="E16" i="55" s="1"/>
  <c r="F17" i="55"/>
  <c r="F16" i="55" s="1"/>
  <c r="G17" i="55"/>
  <c r="G16" i="55" s="1"/>
  <c r="H17" i="55"/>
  <c r="H16" i="55" s="1"/>
  <c r="I17" i="55"/>
  <c r="I16" i="55" s="1"/>
  <c r="J17" i="55"/>
  <c r="J16" i="55" s="1"/>
  <c r="K17" i="55"/>
  <c r="K16" i="55" s="1"/>
  <c r="L17" i="55"/>
  <c r="L16" i="55" s="1"/>
  <c r="M17" i="55"/>
  <c r="M16" i="55" s="1"/>
  <c r="N17" i="55"/>
  <c r="N16" i="55" s="1"/>
  <c r="O17" i="55"/>
  <c r="O16" i="55" s="1"/>
  <c r="P17" i="55"/>
  <c r="P16" i="55" s="1"/>
  <c r="B17" i="54"/>
  <c r="B16" i="54" s="1"/>
  <c r="C17" i="54"/>
  <c r="C16" i="54" s="1"/>
  <c r="D17" i="54"/>
  <c r="D16" i="54" s="1"/>
  <c r="E17" i="54"/>
  <c r="E16" i="54" s="1"/>
  <c r="F17" i="54"/>
  <c r="F16" i="54" s="1"/>
  <c r="G17" i="54"/>
  <c r="G16" i="54" s="1"/>
  <c r="H17" i="54"/>
  <c r="H16" i="54" s="1"/>
  <c r="I17" i="54"/>
  <c r="I16" i="54" s="1"/>
  <c r="J17" i="54"/>
  <c r="J16" i="54" s="1"/>
  <c r="L17" i="54"/>
  <c r="L16" i="54" s="1"/>
  <c r="M17" i="54"/>
  <c r="M16" i="54" s="1"/>
  <c r="N17" i="54"/>
  <c r="N16" i="54" s="1"/>
  <c r="O17" i="54"/>
  <c r="O16" i="54" s="1"/>
  <c r="P17" i="54"/>
  <c r="P16" i="54" s="1"/>
  <c r="AC9" i="53"/>
  <c r="G17" i="53"/>
  <c r="G16" i="53" s="1"/>
  <c r="J17" i="53"/>
  <c r="J16" i="53" s="1"/>
  <c r="L17" i="53"/>
  <c r="L16" i="53" s="1"/>
  <c r="M17" i="53"/>
  <c r="M16" i="53" s="1"/>
  <c r="N17" i="53"/>
  <c r="N16" i="53" s="1"/>
  <c r="O17" i="53"/>
  <c r="O16" i="53" s="1"/>
  <c r="P17" i="53"/>
  <c r="P16" i="53" s="1"/>
  <c r="C8" i="27"/>
  <c r="C9" i="27"/>
  <c r="C10" i="27"/>
  <c r="C11" i="27"/>
  <c r="C12" i="27"/>
  <c r="C13" i="27"/>
  <c r="C14" i="27"/>
  <c r="C15" i="27"/>
  <c r="B9" i="50"/>
  <c r="E9" i="50"/>
  <c r="G9" i="50"/>
  <c r="I9" i="50"/>
  <c r="B10" i="50"/>
  <c r="E10" i="50"/>
  <c r="G10" i="50"/>
  <c r="I10" i="50"/>
  <c r="B11" i="50"/>
  <c r="E11" i="50"/>
  <c r="G11" i="50"/>
  <c r="I11" i="50"/>
  <c r="B18" i="50"/>
  <c r="C18" i="50"/>
  <c r="D18" i="50"/>
  <c r="E19" i="50"/>
  <c r="S19" i="50"/>
  <c r="B19" i="50"/>
  <c r="T19" i="50"/>
  <c r="C19" i="50" s="1"/>
  <c r="U19" i="50"/>
  <c r="D19" i="50" s="1"/>
  <c r="V19" i="50"/>
  <c r="F19" i="50" s="1"/>
  <c r="B20" i="50"/>
  <c r="C20" i="50"/>
  <c r="D20" i="50"/>
  <c r="F20" i="50"/>
  <c r="B21" i="50"/>
  <c r="C21" i="50"/>
  <c r="D21" i="50"/>
  <c r="F21" i="50"/>
  <c r="C12" i="48"/>
  <c r="O12" i="48"/>
  <c r="C13" i="48"/>
  <c r="O13" i="48"/>
  <c r="C14" i="48"/>
  <c r="O14" i="48"/>
  <c r="C15" i="48"/>
  <c r="O15" i="48"/>
  <c r="C16" i="48"/>
  <c r="O16" i="48"/>
  <c r="C17" i="48"/>
  <c r="O17" i="48"/>
  <c r="C18" i="48"/>
  <c r="O18" i="48"/>
  <c r="S18" i="48"/>
  <c r="U18" i="48"/>
  <c r="W18" i="48"/>
  <c r="C19" i="48"/>
  <c r="O19" i="48"/>
  <c r="S19" i="48"/>
  <c r="U19" i="48"/>
  <c r="B8" i="47"/>
  <c r="K8" i="47"/>
  <c r="M8" i="47"/>
  <c r="B9" i="47"/>
  <c r="K9" i="47"/>
  <c r="M9" i="47"/>
  <c r="B10" i="47"/>
  <c r="J10" i="47"/>
  <c r="K10" i="47"/>
  <c r="M10" i="47"/>
  <c r="B11" i="47"/>
  <c r="K11" i="47"/>
  <c r="M11" i="47"/>
  <c r="B12" i="47"/>
  <c r="B13" i="47"/>
  <c r="B14" i="47"/>
  <c r="B15" i="47"/>
  <c r="D14" i="46"/>
  <c r="E14" i="46"/>
  <c r="F14" i="46"/>
  <c r="H14" i="46"/>
  <c r="G14" i="46" s="1"/>
  <c r="I14" i="46"/>
  <c r="H15" i="46"/>
  <c r="I15" i="46"/>
  <c r="D16" i="46"/>
  <c r="C16" i="46" s="1"/>
  <c r="E16" i="46"/>
  <c r="F16" i="46"/>
  <c r="H16" i="46"/>
  <c r="I16" i="46"/>
  <c r="D17" i="46"/>
  <c r="E17" i="46"/>
  <c r="C18" i="46"/>
  <c r="H18" i="46"/>
  <c r="I18" i="46"/>
  <c r="C19" i="46"/>
  <c r="C20" i="46"/>
  <c r="C21" i="46"/>
  <c r="G21" i="46"/>
  <c r="J9" i="45"/>
  <c r="C9" i="45" s="1"/>
  <c r="J10" i="45"/>
  <c r="C10" i="45" s="1"/>
  <c r="J11" i="45"/>
  <c r="C11" i="45" s="1"/>
  <c r="J12" i="45"/>
  <c r="C12" i="45" s="1"/>
  <c r="J13" i="45"/>
  <c r="C13" i="45" s="1"/>
  <c r="J14" i="45"/>
  <c r="C14" i="45" s="1"/>
  <c r="J15" i="45"/>
  <c r="C15" i="45" s="1"/>
  <c r="J16" i="45"/>
  <c r="C16" i="45" s="1"/>
  <c r="T16" i="45"/>
  <c r="E7" i="44"/>
  <c r="E8" i="44"/>
  <c r="E9" i="44"/>
  <c r="E10" i="44"/>
  <c r="E11" i="44"/>
  <c r="E12" i="44"/>
  <c r="E13" i="44"/>
  <c r="E14" i="44"/>
  <c r="B12" i="42"/>
  <c r="C12" i="42"/>
  <c r="B13" i="42"/>
  <c r="C13" i="42"/>
  <c r="B14" i="42"/>
  <c r="C14" i="42"/>
  <c r="B15" i="42"/>
  <c r="C15" i="42"/>
  <c r="B16" i="42"/>
  <c r="C16" i="42"/>
  <c r="B17" i="42"/>
  <c r="C17" i="42"/>
  <c r="B18" i="42"/>
  <c r="C18" i="42"/>
  <c r="B19" i="42"/>
  <c r="C19" i="42"/>
  <c r="G11" i="36"/>
  <c r="G12" i="36"/>
  <c r="G13" i="36"/>
  <c r="G14" i="36"/>
  <c r="G15" i="36"/>
  <c r="G16" i="36"/>
  <c r="G17" i="36"/>
  <c r="B12" i="41"/>
  <c r="F12" i="41"/>
  <c r="J12" i="41"/>
  <c r="B13" i="41"/>
  <c r="F13" i="41"/>
  <c r="J13" i="41"/>
  <c r="B14" i="41"/>
  <c r="F14" i="41"/>
  <c r="J14" i="41"/>
  <c r="B15" i="41"/>
  <c r="F15" i="41"/>
  <c r="J15" i="41"/>
  <c r="B16" i="41"/>
  <c r="F16" i="41"/>
  <c r="J16" i="41"/>
  <c r="B17" i="41"/>
  <c r="F17" i="41"/>
  <c r="J17" i="41"/>
  <c r="B18" i="41"/>
  <c r="E18" i="41"/>
  <c r="F18" i="41"/>
  <c r="I18" i="41"/>
  <c r="J18" i="41"/>
  <c r="M18" i="41"/>
  <c r="B19" i="41"/>
  <c r="E19" i="41"/>
  <c r="F19" i="41"/>
  <c r="I19" i="41"/>
  <c r="J19" i="41"/>
  <c r="M19" i="41"/>
  <c r="C12" i="40"/>
  <c r="D12" i="40"/>
  <c r="E12" i="40"/>
  <c r="F12" i="40"/>
  <c r="J12" i="40"/>
  <c r="N12" i="40"/>
  <c r="C13" i="40"/>
  <c r="D13" i="40"/>
  <c r="E13" i="40"/>
  <c r="F13" i="40"/>
  <c r="J13" i="40"/>
  <c r="N13" i="40"/>
  <c r="C14" i="40"/>
  <c r="D14" i="40"/>
  <c r="E14" i="40"/>
  <c r="F14" i="40"/>
  <c r="J14" i="40"/>
  <c r="N14" i="40"/>
  <c r="C15" i="40"/>
  <c r="D15" i="40"/>
  <c r="E15" i="40"/>
  <c r="F15" i="40"/>
  <c r="J15" i="40"/>
  <c r="N15" i="40"/>
  <c r="C16" i="40"/>
  <c r="D16" i="40"/>
  <c r="E16" i="40"/>
  <c r="F16" i="40"/>
  <c r="J16" i="40"/>
  <c r="N16" i="40"/>
  <c r="C17" i="40"/>
  <c r="D17" i="40"/>
  <c r="E17" i="40"/>
  <c r="F17" i="40"/>
  <c r="J17" i="40"/>
  <c r="C18" i="40"/>
  <c r="D18" i="40"/>
  <c r="F18" i="40"/>
  <c r="I18" i="40"/>
  <c r="J18" i="40"/>
  <c r="M18" i="40"/>
  <c r="N18" i="40"/>
  <c r="Q18" i="40"/>
  <c r="C19" i="40"/>
  <c r="D19" i="40"/>
  <c r="F19" i="40"/>
  <c r="I19" i="40"/>
  <c r="J19" i="40"/>
  <c r="M19" i="40"/>
  <c r="N19" i="40"/>
  <c r="Q19" i="40"/>
  <c r="Y15" i="39"/>
  <c r="E18" i="9"/>
  <c r="F18" i="9"/>
  <c r="G18" i="9"/>
  <c r="H18" i="9"/>
  <c r="I18" i="9"/>
  <c r="J18" i="9"/>
  <c r="K18" i="9"/>
  <c r="L18" i="9"/>
  <c r="M18" i="9"/>
  <c r="N18" i="9"/>
  <c r="O18" i="9"/>
  <c r="P18" i="9"/>
  <c r="Q18" i="9"/>
  <c r="R18" i="9"/>
  <c r="S18" i="9"/>
  <c r="T18" i="9"/>
  <c r="U18" i="9"/>
  <c r="V18" i="9"/>
  <c r="W18" i="9"/>
  <c r="X18" i="9"/>
  <c r="C19" i="9"/>
  <c r="D19" i="9"/>
  <c r="C20" i="9"/>
  <c r="D20" i="9"/>
  <c r="C21" i="9"/>
  <c r="C21" i="7"/>
  <c r="D21" i="9"/>
  <c r="C22" i="9"/>
  <c r="D22" i="9"/>
  <c r="C23" i="9"/>
  <c r="D23" i="9"/>
  <c r="C24" i="9"/>
  <c r="D24" i="9"/>
  <c r="C25" i="9"/>
  <c r="D25" i="9"/>
  <c r="C26" i="9"/>
  <c r="D26" i="9"/>
  <c r="B26" i="9" s="1"/>
  <c r="C27" i="9"/>
  <c r="B27" i="9" s="1"/>
  <c r="D27" i="9"/>
  <c r="C28" i="9"/>
  <c r="D28" i="9"/>
  <c r="C29" i="9"/>
  <c r="D29" i="9"/>
  <c r="C30" i="9"/>
  <c r="D30" i="9"/>
  <c r="C31" i="9"/>
  <c r="D31" i="9"/>
  <c r="B18" i="8"/>
  <c r="C18" i="8"/>
  <c r="D18" i="8"/>
  <c r="E18" i="8"/>
  <c r="F18" i="8"/>
  <c r="G18" i="8"/>
  <c r="H18" i="8"/>
  <c r="I18" i="8"/>
  <c r="J18" i="8"/>
  <c r="K18" i="8"/>
  <c r="L18" i="8"/>
  <c r="M18" i="8"/>
  <c r="N18" i="8"/>
  <c r="O18" i="8"/>
  <c r="P18" i="8"/>
  <c r="Q18" i="8"/>
  <c r="R18" i="8"/>
  <c r="S18" i="8"/>
  <c r="H18" i="7"/>
  <c r="I18" i="7"/>
  <c r="J18" i="7"/>
  <c r="K18" i="7"/>
  <c r="L18" i="7"/>
  <c r="M18" i="7"/>
  <c r="N18" i="7"/>
  <c r="O18" i="7"/>
  <c r="P18" i="7"/>
  <c r="Q18" i="7"/>
  <c r="R18" i="7"/>
  <c r="S18" i="7"/>
  <c r="T18" i="7"/>
  <c r="U18" i="7"/>
  <c r="E19" i="7"/>
  <c r="W19" i="7" s="1"/>
  <c r="D19" i="7"/>
  <c r="F20" i="7"/>
  <c r="G20" i="7"/>
  <c r="G21" i="7"/>
  <c r="F22" i="7"/>
  <c r="C22" i="7" s="1"/>
  <c r="G22" i="7"/>
  <c r="F23" i="7"/>
  <c r="G23" i="7"/>
  <c r="F24" i="7"/>
  <c r="G24" i="7"/>
  <c r="F25" i="7"/>
  <c r="G25" i="7"/>
  <c r="F26" i="7"/>
  <c r="G26" i="7"/>
  <c r="F27" i="7"/>
  <c r="G27" i="7"/>
  <c r="F28" i="7"/>
  <c r="G28" i="7"/>
  <c r="F29" i="7"/>
  <c r="G29" i="7"/>
  <c r="F30" i="7"/>
  <c r="G30" i="7"/>
  <c r="F31" i="7"/>
  <c r="G31" i="7"/>
  <c r="B18" i="6"/>
  <c r="C18" i="6"/>
  <c r="G18" i="6"/>
  <c r="I18" i="6"/>
  <c r="J18" i="6"/>
  <c r="K18" i="6"/>
  <c r="L18" i="6"/>
  <c r="M18" i="6"/>
  <c r="N18" i="6"/>
  <c r="O18" i="6"/>
  <c r="P18" i="6"/>
  <c r="Q18" i="6"/>
  <c r="R18" i="6"/>
  <c r="S18" i="6"/>
  <c r="T18" i="6"/>
  <c r="U18" i="6"/>
  <c r="V18" i="6"/>
  <c r="W18" i="6"/>
  <c r="G8" i="2"/>
  <c r="G9" i="2"/>
  <c r="B8" i="1"/>
  <c r="B9" i="1"/>
  <c r="B14" i="1"/>
  <c r="I14" i="1"/>
  <c r="I15" i="1"/>
  <c r="I16" i="1"/>
  <c r="T20" i="41"/>
  <c r="D27" i="7" l="1"/>
  <c r="G16" i="31"/>
  <c r="K8" i="2"/>
  <c r="C20" i="7"/>
  <c r="B25" i="9"/>
  <c r="C14" i="46"/>
  <c r="D29" i="7"/>
  <c r="D26" i="7"/>
  <c r="D23" i="7"/>
  <c r="B31" i="9"/>
  <c r="B28" i="9"/>
  <c r="G18" i="46"/>
  <c r="G19" i="31"/>
  <c r="K16" i="2"/>
  <c r="B23" i="9"/>
  <c r="C26" i="7"/>
  <c r="C23" i="7"/>
  <c r="B23" i="7" s="1"/>
  <c r="H21" i="5"/>
  <c r="H20" i="5" s="1"/>
  <c r="D31" i="7"/>
  <c r="D28" i="7"/>
  <c r="D25" i="7"/>
  <c r="B21" i="9"/>
  <c r="B19" i="9"/>
  <c r="B18" i="40"/>
  <c r="N18" i="41" s="1"/>
  <c r="G15" i="31"/>
  <c r="G13" i="31"/>
  <c r="F21" i="5"/>
  <c r="B30" i="9"/>
  <c r="E18" i="40"/>
  <c r="G16" i="46"/>
  <c r="G18" i="31"/>
  <c r="G14" i="31"/>
  <c r="G12" i="31"/>
  <c r="T21" i="5"/>
  <c r="T20" i="5" s="1"/>
  <c r="S21" i="5"/>
  <c r="S20" i="5" s="1"/>
  <c r="C31" i="7"/>
  <c r="B31" i="7" s="1"/>
  <c r="C28" i="7"/>
  <c r="B28" i="7" s="1"/>
  <c r="B24" i="9"/>
  <c r="C16" i="2"/>
  <c r="S16" i="45"/>
  <c r="D24" i="7"/>
  <c r="B29" i="9"/>
  <c r="C30" i="7"/>
  <c r="C27" i="7"/>
  <c r="B27" i="7" s="1"/>
  <c r="B20" i="9"/>
  <c r="C17" i="46"/>
  <c r="G15" i="46"/>
  <c r="G27" i="5"/>
  <c r="G22" i="5"/>
  <c r="V15" i="53"/>
  <c r="E15" i="53"/>
  <c r="E17" i="53"/>
  <c r="E16" i="53" s="1"/>
  <c r="B15" i="53"/>
  <c r="R15" i="53"/>
  <c r="D15" i="53"/>
  <c r="T15" i="53"/>
  <c r="C15" i="53"/>
  <c r="S15" i="53"/>
  <c r="U15" i="53"/>
  <c r="F15" i="53"/>
  <c r="C17" i="53"/>
  <c r="C16" i="53" s="1"/>
  <c r="F17" i="53"/>
  <c r="F16" i="53" s="1"/>
  <c r="B17" i="53"/>
  <c r="B16" i="53" s="1"/>
  <c r="D17" i="53"/>
  <c r="D16" i="53" s="1"/>
  <c r="T16" i="53"/>
  <c r="U16" i="53"/>
  <c r="S16" i="53"/>
  <c r="V16" i="53"/>
  <c r="R16" i="53"/>
  <c r="E19" i="40"/>
  <c r="B19" i="40"/>
  <c r="N19" i="41" s="1"/>
  <c r="B17" i="40"/>
  <c r="N17" i="41" s="1"/>
  <c r="B13" i="40"/>
  <c r="N13" i="41" s="1"/>
  <c r="B16" i="40"/>
  <c r="B14" i="40"/>
  <c r="N14" i="41" s="1"/>
  <c r="B12" i="40"/>
  <c r="N12" i="41" s="1"/>
  <c r="B15" i="40"/>
  <c r="N15" i="41" s="1"/>
  <c r="E20" i="7"/>
  <c r="W20" i="7" s="1"/>
  <c r="C19" i="7"/>
  <c r="B19" i="7" s="1"/>
  <c r="D30" i="7"/>
  <c r="B30" i="7" s="1"/>
  <c r="C24" i="7"/>
  <c r="B22" i="9"/>
  <c r="D21" i="7"/>
  <c r="B21" i="7" s="1"/>
  <c r="D22" i="7"/>
  <c r="B22" i="7" s="1"/>
  <c r="D20" i="7"/>
  <c r="B20" i="7" s="1"/>
  <c r="Y20" i="9" s="1"/>
  <c r="D18" i="9"/>
  <c r="C18" i="9"/>
  <c r="E31" i="7"/>
  <c r="W31" i="7" s="1"/>
  <c r="E30" i="7"/>
  <c r="W30" i="7" s="1"/>
  <c r="E29" i="7"/>
  <c r="W29" i="7" s="1"/>
  <c r="C29" i="7"/>
  <c r="B29" i="7" s="1"/>
  <c r="E28" i="7"/>
  <c r="W28" i="7" s="1"/>
  <c r="E27" i="7"/>
  <c r="W27" i="7" s="1"/>
  <c r="E26" i="7"/>
  <c r="W26" i="7" s="1"/>
  <c r="F18" i="7"/>
  <c r="E25" i="7"/>
  <c r="W25" i="7" s="1"/>
  <c r="C25" i="7"/>
  <c r="B25" i="7" s="1"/>
  <c r="E24" i="7"/>
  <c r="W24" i="7" s="1"/>
  <c r="E23" i="7"/>
  <c r="W23" i="7" s="1"/>
  <c r="E22" i="7"/>
  <c r="W22" i="7" s="1"/>
  <c r="E21" i="7"/>
  <c r="W21" i="7" s="1"/>
  <c r="G18" i="7"/>
  <c r="F20" i="5"/>
  <c r="P21" i="5"/>
  <c r="P20" i="5" s="1"/>
  <c r="L21" i="5"/>
  <c r="L20" i="5" s="1"/>
  <c r="K21" i="5"/>
  <c r="K20" i="5" s="1"/>
  <c r="M35" i="5"/>
  <c r="M21" i="5" s="1"/>
  <c r="M20" i="5" s="1"/>
  <c r="J20" i="5"/>
  <c r="O21" i="5"/>
  <c r="O20" i="5" s="1"/>
  <c r="M27" i="5"/>
  <c r="R21" i="5"/>
  <c r="R20" i="5" s="1"/>
  <c r="I21" i="5"/>
  <c r="I20" i="5" s="1"/>
  <c r="G35" i="5"/>
  <c r="N21" i="5"/>
  <c r="N20" i="5" s="1"/>
  <c r="Q21" i="5"/>
  <c r="Q20" i="5" s="1"/>
  <c r="U35" i="5"/>
  <c r="B26" i="7" l="1"/>
  <c r="B24" i="7"/>
  <c r="Z15" i="53"/>
  <c r="G21" i="5"/>
  <c r="G20" i="5" s="1"/>
  <c r="Y27" i="9"/>
  <c r="AE27" i="9" s="1"/>
  <c r="Y28" i="9"/>
  <c r="AE28" i="9" s="1"/>
  <c r="Y26" i="9"/>
  <c r="AE26" i="9" s="1"/>
  <c r="Y30" i="9"/>
  <c r="AE30" i="9" s="1"/>
  <c r="Y25" i="9"/>
  <c r="AE25" i="9" s="1"/>
  <c r="Y21" i="9"/>
  <c r="AE21" i="9" s="1"/>
  <c r="AC15" i="53"/>
  <c r="Y29" i="9"/>
  <c r="AE29" i="9" s="1"/>
  <c r="Y23" i="9"/>
  <c r="AE23" i="9" s="1"/>
  <c r="Y31" i="9"/>
  <c r="AE31" i="9" s="1"/>
  <c r="B18" i="9"/>
  <c r="AB15" i="53"/>
  <c r="V18" i="7"/>
  <c r="Y19" i="9"/>
  <c r="AE19" i="9" s="1"/>
  <c r="Y22" i="9"/>
  <c r="AE22" i="9" s="1"/>
  <c r="E18" i="7"/>
  <c r="Y24" i="9"/>
  <c r="AE24" i="9" s="1"/>
  <c r="Y15" i="53"/>
  <c r="AA15" i="53"/>
  <c r="Z16" i="53"/>
  <c r="AA16" i="53"/>
  <c r="AB16" i="53"/>
  <c r="AC16" i="53"/>
  <c r="Y16" i="53"/>
  <c r="X18" i="7"/>
  <c r="D18" i="7"/>
  <c r="C18" i="7"/>
  <c r="W18" i="7"/>
  <c r="AE20" i="9"/>
  <c r="B18" i="7" l="1"/>
  <c r="Y18" i="9" l="1"/>
  <c r="AE18" i="9"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邱紫菱</author>
    <author>moi</author>
  </authors>
  <commentList>
    <comment ref="U4" authorId="0" shapeId="0" xr:uid="{00000000-0006-0000-0A00-000001000000}">
      <text>
        <r>
          <rPr>
            <b/>
            <sz val="9"/>
            <color indexed="81"/>
            <rFont val="細明體"/>
            <family val="3"/>
            <charset val="136"/>
          </rPr>
          <t>邱紫菱</t>
        </r>
        <r>
          <rPr>
            <b/>
            <sz val="9"/>
            <color indexed="81"/>
            <rFont val="Tahoma"/>
            <family val="2"/>
          </rPr>
          <t>:</t>
        </r>
        <r>
          <rPr>
            <sz val="9"/>
            <color indexed="81"/>
            <rFont val="Tahoma"/>
            <family val="2"/>
          </rPr>
          <t xml:space="preserve">
</t>
        </r>
        <r>
          <rPr>
            <sz val="9"/>
            <color indexed="81"/>
            <rFont val="細明體"/>
            <family val="3"/>
            <charset val="136"/>
          </rPr>
          <t>衛生福利部統計處</t>
        </r>
        <r>
          <rPr>
            <sz val="9"/>
            <color indexed="81"/>
            <rFont val="Tahoma"/>
            <family val="2"/>
          </rPr>
          <t>&gt;</t>
        </r>
        <r>
          <rPr>
            <sz val="9"/>
            <color indexed="81"/>
            <rFont val="細明體"/>
            <family val="3"/>
            <charset val="136"/>
          </rPr>
          <t>社會福利統計</t>
        </r>
        <r>
          <rPr>
            <sz val="9"/>
            <color indexed="81"/>
            <rFont val="Tahoma"/>
            <family val="2"/>
          </rPr>
          <t>&gt;</t>
        </r>
        <r>
          <rPr>
            <sz val="9"/>
            <color indexed="81"/>
            <rFont val="細明體"/>
            <family val="3"/>
            <charset val="136"/>
          </rPr>
          <t>社會救助</t>
        </r>
        <r>
          <rPr>
            <sz val="9"/>
            <color indexed="81"/>
            <rFont val="Tahoma"/>
            <family val="2"/>
          </rPr>
          <t>&gt;</t>
        </r>
        <r>
          <rPr>
            <sz val="9"/>
            <color indexed="81"/>
            <rFont val="細明體"/>
            <family val="3"/>
            <charset val="136"/>
          </rPr>
          <t>補助與救助&gt;低收入戶生活扶助</t>
        </r>
      </text>
    </comment>
    <comment ref="W4" authorId="1" shapeId="0" xr:uid="{00000000-0006-0000-0A00-000002000000}">
      <text>
        <r>
          <rPr>
            <b/>
            <sz val="9"/>
            <color indexed="81"/>
            <rFont val="新細明體"/>
            <family val="1"/>
            <charset val="136"/>
          </rPr>
          <t>101年第3季修正</t>
        </r>
      </text>
    </comment>
    <comment ref="S9" authorId="0" shapeId="0" xr:uid="{00000000-0006-0000-0A00-000003000000}">
      <text>
        <r>
          <rPr>
            <b/>
            <sz val="9"/>
            <color indexed="81"/>
            <rFont val="細明體"/>
            <family val="3"/>
            <charset val="136"/>
          </rPr>
          <t>邱紫菱</t>
        </r>
        <r>
          <rPr>
            <b/>
            <sz val="9"/>
            <color indexed="81"/>
            <rFont val="Tahoma"/>
            <family val="2"/>
          </rPr>
          <t>:</t>
        </r>
        <r>
          <rPr>
            <sz val="9"/>
            <color indexed="81"/>
            <rFont val="Tahoma"/>
            <family val="2"/>
          </rPr>
          <t xml:space="preserve">
</t>
        </r>
        <r>
          <rPr>
            <sz val="9"/>
            <color indexed="81"/>
            <rFont val="細明體"/>
            <family val="3"/>
            <charset val="136"/>
          </rPr>
          <t xml:space="preserve">內政部資料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李文琳</author>
  </authors>
  <commentList>
    <comment ref="F18" authorId="0" shapeId="0" xr:uid="{00000000-0006-0000-0E00-000001000000}">
      <text>
        <r>
          <rPr>
            <b/>
            <sz val="9"/>
            <color indexed="81"/>
            <rFont val="細明體"/>
            <family val="3"/>
            <charset val="136"/>
          </rPr>
          <t>李文琳</t>
        </r>
        <r>
          <rPr>
            <b/>
            <sz val="9"/>
            <color indexed="81"/>
            <rFont val="Tahoma"/>
            <family val="2"/>
          </rPr>
          <t>:</t>
        </r>
        <r>
          <rPr>
            <sz val="9"/>
            <color indexed="81"/>
            <rFont val="Tahoma"/>
            <family val="2"/>
          </rPr>
          <t xml:space="preserve">
</t>
        </r>
        <r>
          <rPr>
            <sz val="9"/>
            <color indexed="81"/>
            <rFont val="細明體"/>
            <family val="3"/>
            <charset val="136"/>
          </rPr>
          <t>與承辦人確認，104年1月起人數逐漸下降</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林芳如</author>
  </authors>
  <commentList>
    <comment ref="S13" authorId="0" shapeId="0" xr:uid="{00000000-0006-0000-1700-000001000000}">
      <text>
        <r>
          <rPr>
            <b/>
            <sz val="9"/>
            <color indexed="81"/>
            <rFont val="細明體"/>
            <family val="3"/>
            <charset val="136"/>
          </rPr>
          <t>請教育局終身學習科提供資料</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林芳如</author>
  </authors>
  <commentList>
    <comment ref="A2" authorId="0" shapeId="0" xr:uid="{00000000-0006-0000-1900-000001000000}">
      <text>
        <r>
          <rPr>
            <b/>
            <sz val="9"/>
            <color indexed="81"/>
            <rFont val="細明體"/>
            <family val="3"/>
            <charset val="136"/>
          </rPr>
          <t>報表 家庭福利服務</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李文琳</author>
  </authors>
  <commentList>
    <comment ref="A2" authorId="0" shapeId="0" xr:uid="{00000000-0006-0000-1F00-000001000000}">
      <text>
        <r>
          <rPr>
            <b/>
            <sz val="9"/>
            <color indexed="81"/>
            <rFont val="細明體"/>
            <family val="3"/>
            <charset val="136"/>
          </rPr>
          <t>資料來源</t>
        </r>
        <r>
          <rPr>
            <b/>
            <sz val="9"/>
            <color indexed="81"/>
            <rFont val="Tahoma"/>
            <family val="2"/>
          </rPr>
          <t xml:space="preserve">:http://www.mohw.gov.tw/cht/DOS/Statistic.aspx?f_list_no=312&amp;fod_list_no=2218
</t>
        </r>
        <r>
          <rPr>
            <b/>
            <sz val="9"/>
            <color indexed="81"/>
            <rFont val="細明體"/>
            <family val="3"/>
            <charset val="136"/>
          </rPr>
          <t>一覽表之</t>
        </r>
        <r>
          <rPr>
            <b/>
            <sz val="9"/>
            <color indexed="81"/>
            <rFont val="Tahoma"/>
            <family val="2"/>
          </rPr>
          <t>1042-2</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李文琳</author>
  </authors>
  <commentList>
    <comment ref="A2" authorId="0" shapeId="0" xr:uid="{00000000-0006-0000-2000-000001000000}">
      <text>
        <r>
          <rPr>
            <b/>
            <sz val="9"/>
            <color indexed="81"/>
            <rFont val="細明體"/>
            <family val="3"/>
            <charset val="136"/>
          </rPr>
          <t>資料來源</t>
        </r>
        <r>
          <rPr>
            <b/>
            <sz val="9"/>
            <color indexed="81"/>
            <rFont val="Tahoma"/>
            <family val="2"/>
          </rPr>
          <t xml:space="preserve">:http://www.mohw.gov.tw/cht/DOS/Statistic.aspx?f_list_no=312&amp;fod_list_no=4188
</t>
        </r>
        <r>
          <rPr>
            <sz val="9"/>
            <color indexed="81"/>
            <rFont val="Tahoma"/>
            <family val="2"/>
          </rPr>
          <t xml:space="preserve">
</t>
        </r>
      </text>
    </comment>
  </commentList>
</comments>
</file>

<file path=xl/sharedStrings.xml><?xml version="1.0" encoding="utf-8"?>
<sst xmlns="http://schemas.openxmlformats.org/spreadsheetml/2006/main" count="2755" uniqueCount="1423">
  <si>
    <t>Social Welfare</t>
    <phoneticPr fontId="4" type="noConversion"/>
  </si>
  <si>
    <t>Table 11-1. The Number of the Civic Association at All Levels</t>
    <phoneticPr fontId="4" type="noConversion"/>
  </si>
  <si>
    <t>Unit : Units</t>
    <phoneticPr fontId="6" type="noConversion"/>
  </si>
  <si>
    <t>Occupational Associations</t>
    <phoneticPr fontId="6" type="noConversion"/>
  </si>
  <si>
    <t>Social Associations</t>
    <phoneticPr fontId="6" type="noConversion"/>
  </si>
  <si>
    <t>End of Year</t>
    <phoneticPr fontId="6" type="noConversion"/>
  </si>
  <si>
    <t>Total</t>
    <phoneticPr fontId="6" type="noConversion"/>
  </si>
  <si>
    <t>Farmer's
Associations</t>
    <phoneticPr fontId="6" type="noConversion"/>
  </si>
  <si>
    <t>Fisherman's
Associations</t>
    <phoneticPr fontId="6" type="noConversion"/>
  </si>
  <si>
    <t>Labor
Organizations</t>
    <phoneticPr fontId="6" type="noConversion"/>
  </si>
  <si>
    <t>Industral
Associations</t>
    <phoneticPr fontId="6" type="noConversion"/>
  </si>
  <si>
    <t>Commercial
Associations</t>
    <phoneticPr fontId="6" type="noConversion"/>
  </si>
  <si>
    <t>Liberal
Profession
Associations</t>
    <phoneticPr fontId="6" type="noConversion"/>
  </si>
  <si>
    <t>Total</t>
    <phoneticPr fontId="6" type="noConversion"/>
  </si>
  <si>
    <t>Academic
&amp; Cultural
Associations</t>
    <phoneticPr fontId="6" type="noConversion"/>
  </si>
  <si>
    <t>Medical
Associations</t>
    <phoneticPr fontId="6" type="noConversion"/>
  </si>
  <si>
    <t>Religious
Associations</t>
    <phoneticPr fontId="6" type="noConversion"/>
  </si>
  <si>
    <t>Sports
Associations</t>
    <phoneticPr fontId="6" type="noConversion"/>
  </si>
  <si>
    <t>Social Services
&amp; Charity
Associations</t>
    <phoneticPr fontId="6" type="noConversion"/>
  </si>
  <si>
    <t>International
Associations</t>
    <phoneticPr fontId="6" type="noConversion"/>
  </si>
  <si>
    <t>Economic
Business
Associations</t>
    <phoneticPr fontId="6" type="noConversion"/>
  </si>
  <si>
    <t>Others</t>
    <phoneticPr fontId="6" type="noConversion"/>
  </si>
  <si>
    <t>Source : Council of Agriculture, Executive Yuan, Ministry of Labor and Department of Social Welfare, Taoyuan City Gov.</t>
    <phoneticPr fontId="6" type="noConversion"/>
  </si>
  <si>
    <t>Table 11-2. The General Conditions of Religions</t>
    <phoneticPr fontId="6" type="noConversion"/>
  </si>
  <si>
    <t>End of Year, Religions</t>
    <phoneticPr fontId="6" type="noConversion"/>
  </si>
  <si>
    <t>Temples and Churches
(Places)</t>
    <phoneticPr fontId="6" type="noConversion"/>
  </si>
  <si>
    <t>No. of Clergies
(Persons)</t>
    <phoneticPr fontId="6" type="noConversion"/>
  </si>
  <si>
    <t>No. of Followers of 
Temples and Churches
(Persons)</t>
    <phoneticPr fontId="6" type="noConversion"/>
  </si>
  <si>
    <t>End of 2009</t>
    <phoneticPr fontId="11" type="noConversion"/>
  </si>
  <si>
    <t>End of 2010</t>
    <phoneticPr fontId="11" type="noConversion"/>
  </si>
  <si>
    <t>End of 2011</t>
  </si>
  <si>
    <t>End of 2012</t>
    <phoneticPr fontId="6" type="noConversion"/>
  </si>
  <si>
    <t>End of 2013</t>
    <phoneticPr fontId="6" type="noConversion"/>
  </si>
  <si>
    <t>End of 2014</t>
    <phoneticPr fontId="6" type="noConversion"/>
  </si>
  <si>
    <t>…</t>
    <phoneticPr fontId="6" type="noConversion"/>
  </si>
  <si>
    <t>End of 2015</t>
    <phoneticPr fontId="11" type="noConversion"/>
  </si>
  <si>
    <t>Daoism</t>
    <phoneticPr fontId="6" type="noConversion"/>
  </si>
  <si>
    <t>Buddhism</t>
  </si>
  <si>
    <t>Yi Guan Dao</t>
    <phoneticPr fontId="6" type="noConversion"/>
  </si>
  <si>
    <t>Li-ism</t>
    <phoneticPr fontId="6" type="noConversion"/>
  </si>
  <si>
    <t>Others</t>
    <phoneticPr fontId="6" type="noConversion"/>
  </si>
  <si>
    <t>-</t>
  </si>
  <si>
    <t>Catholicism</t>
    <phoneticPr fontId="6" type="noConversion"/>
  </si>
  <si>
    <t>Protestantism</t>
    <phoneticPr fontId="6" type="noConversion"/>
  </si>
  <si>
    <t>Islamism</t>
    <phoneticPr fontId="6" type="noConversion"/>
  </si>
  <si>
    <t>Source : Department of Civil Affairs, Taoyuan City Gov.</t>
    <phoneticPr fontId="6" type="noConversion"/>
  </si>
  <si>
    <t xml:space="preserve">         2. The number of followers of temples and churches is according to the regulation of the religions.</t>
    <phoneticPr fontId="6" type="noConversion"/>
  </si>
  <si>
    <t>Social Welfare</t>
    <phoneticPr fontId="4" type="noConversion"/>
  </si>
  <si>
    <t>Table 11-3. General Conditions of Social Services of Religions</t>
    <phoneticPr fontId="6" type="noConversion"/>
  </si>
  <si>
    <t>Unit : Places</t>
    <phoneticPr fontId="6" type="noConversion"/>
  </si>
  <si>
    <t>Medical Institutions</t>
    <phoneticPr fontId="6" type="noConversion"/>
  </si>
  <si>
    <t>End of Year</t>
    <phoneticPr fontId="6" type="noConversion"/>
  </si>
  <si>
    <t>Hospitals</t>
  </si>
  <si>
    <t>Clinics</t>
  </si>
  <si>
    <t>End of 2009</t>
  </si>
  <si>
    <t>End of 2010</t>
  </si>
  <si>
    <t>End of 2012</t>
    <phoneticPr fontId="6" type="noConversion"/>
  </si>
  <si>
    <t>-</t>
    <phoneticPr fontId="6" type="noConversion"/>
  </si>
  <si>
    <t>End of 2013</t>
    <phoneticPr fontId="6" type="noConversion"/>
  </si>
  <si>
    <t>End of 2014</t>
    <phoneticPr fontId="6" type="noConversion"/>
  </si>
  <si>
    <t>End of 2015</t>
    <phoneticPr fontId="6" type="noConversion"/>
  </si>
  <si>
    <t>Source : Ministry of the Interior.</t>
    <phoneticPr fontId="6" type="noConversion"/>
  </si>
  <si>
    <t>Social Welfare</t>
    <phoneticPr fontId="4" type="noConversion"/>
  </si>
  <si>
    <t>Table 11-3. General Conditions of Social Services of Religions (Cont.)</t>
    <phoneticPr fontId="6" type="noConversion"/>
  </si>
  <si>
    <t>Unit : Places</t>
    <phoneticPr fontId="6" type="noConversion"/>
  </si>
  <si>
    <t>Cultural Institutions</t>
    <phoneticPr fontId="6" type="noConversion"/>
  </si>
  <si>
    <t>Public Welfare &amp; Charity Work</t>
    <phoneticPr fontId="6" type="noConversion"/>
  </si>
  <si>
    <t>End of Year</t>
    <phoneticPr fontId="4" type="noConversion"/>
  </si>
  <si>
    <t>Universities 
&amp; Colleges</t>
    <phoneticPr fontId="6" type="noConversion"/>
  </si>
  <si>
    <t>Junior
Colleges</t>
    <phoneticPr fontId="6" type="noConversion"/>
  </si>
  <si>
    <t>Vocational
Schools</t>
    <phoneticPr fontId="6" type="noConversion"/>
  </si>
  <si>
    <t>Junior &amp; Senior High Schools</t>
    <phoneticPr fontId="6" type="noConversion"/>
  </si>
  <si>
    <t>Primary Schools</t>
  </si>
  <si>
    <t>Preschools</t>
    <phoneticPr fontId="6" type="noConversion"/>
  </si>
  <si>
    <t>Others</t>
  </si>
  <si>
    <t>Institutions for the Disabled</t>
  </si>
  <si>
    <t>Institutions for the Youth Guidance</t>
  </si>
  <si>
    <t>Welfare Fundations</t>
  </si>
  <si>
    <t>End of 2012</t>
    <phoneticPr fontId="6" type="noConversion"/>
  </si>
  <si>
    <t>-</t>
    <phoneticPr fontId="6" type="noConversion"/>
  </si>
  <si>
    <t>End of 2014</t>
    <phoneticPr fontId="6" type="noConversion"/>
  </si>
  <si>
    <t>Table 11-4. General Conditions of Cooperatives</t>
    <phoneticPr fontId="6" type="noConversion"/>
  </si>
  <si>
    <t>No. of Members (Persons)</t>
    <phoneticPr fontId="6" type="noConversion"/>
  </si>
  <si>
    <t>Individual Members</t>
    <phoneticPr fontId="6" type="noConversion"/>
  </si>
  <si>
    <t>Members
in Law</t>
    <phoneticPr fontId="6" type="noConversion"/>
  </si>
  <si>
    <t>End of Year, Kinds</t>
    <phoneticPr fontId="6" type="noConversion"/>
  </si>
  <si>
    <t>Total</t>
    <phoneticPr fontId="6" type="noConversion"/>
  </si>
  <si>
    <t>Male</t>
    <phoneticPr fontId="6" type="noConversion"/>
  </si>
  <si>
    <t>Female</t>
    <phoneticPr fontId="6" type="noConversion"/>
  </si>
  <si>
    <t>…</t>
    <phoneticPr fontId="6" type="noConversion"/>
  </si>
  <si>
    <t>Single-Purpose C.S.</t>
  </si>
  <si>
    <t>Agricultural C.S.</t>
    <phoneticPr fontId="6" type="noConversion"/>
  </si>
  <si>
    <t>Agricultural Production C.S.</t>
    <phoneticPr fontId="6" type="noConversion"/>
  </si>
  <si>
    <t>Agricultural Shipping and Marketing C.S.</t>
    <phoneticPr fontId="6" type="noConversion"/>
  </si>
  <si>
    <t>Industry C.S.</t>
    <phoneticPr fontId="6" type="noConversion"/>
  </si>
  <si>
    <t>Industrial Production C.S.</t>
    <phoneticPr fontId="6" type="noConversion"/>
  </si>
  <si>
    <t>Industrial Shipping and Marketing C.S.</t>
    <phoneticPr fontId="6" type="noConversion"/>
  </si>
  <si>
    <t>Industrial Supply C.S.</t>
    <phoneticPr fontId="6" type="noConversion"/>
  </si>
  <si>
    <t>Industrial Utilities C.S.</t>
    <phoneticPr fontId="6" type="noConversion"/>
  </si>
  <si>
    <t>Industrial Labor C.S</t>
    <phoneticPr fontId="6" type="noConversion"/>
  </si>
  <si>
    <t xml:space="preserve">Industrial Transport C.S. </t>
    <phoneticPr fontId="6" type="noConversion"/>
  </si>
  <si>
    <t>Aborigine Labor C.S.</t>
    <phoneticPr fontId="6" type="noConversion"/>
  </si>
  <si>
    <t>Consumption C.S.</t>
    <phoneticPr fontId="6" type="noConversion"/>
  </si>
  <si>
    <t xml:space="preserve">District C.S.  </t>
    <phoneticPr fontId="6" type="noConversion"/>
  </si>
  <si>
    <t xml:space="preserve">Labor C.S. </t>
    <phoneticPr fontId="6" type="noConversion"/>
  </si>
  <si>
    <t xml:space="preserve">Civic Organization C.S.   </t>
    <phoneticPr fontId="6" type="noConversion"/>
  </si>
  <si>
    <t xml:space="preserve">Organization C.S. </t>
    <phoneticPr fontId="6" type="noConversion"/>
  </si>
  <si>
    <t xml:space="preserve">School C.S. </t>
    <phoneticPr fontId="6" type="noConversion"/>
  </si>
  <si>
    <t>Public Utility C.S.</t>
    <phoneticPr fontId="6" type="noConversion"/>
  </si>
  <si>
    <t>Insurance C.S.</t>
    <phoneticPr fontId="6" type="noConversion"/>
  </si>
  <si>
    <t>Multi-Purpose C.S.</t>
  </si>
  <si>
    <t>District General C.S.</t>
    <phoneticPr fontId="6" type="noConversion"/>
  </si>
  <si>
    <t>Community C.S.</t>
    <phoneticPr fontId="6" type="noConversion"/>
  </si>
  <si>
    <t>Cooperative Farm C.S.</t>
    <phoneticPr fontId="6" type="noConversion"/>
  </si>
  <si>
    <t>Source : Department of Social Welfare, Taoyuan City Gov.</t>
    <phoneticPr fontId="6" type="noConversion"/>
  </si>
  <si>
    <t>Social Welfare</t>
    <phoneticPr fontId="6" type="noConversion"/>
  </si>
  <si>
    <t>Table 11-5. Achievements of Community Development</t>
    <phoneticPr fontId="6" type="noConversion"/>
  </si>
  <si>
    <t>Outlay (NT$)</t>
    <phoneticPr fontId="6" type="noConversion"/>
  </si>
  <si>
    <t>Main Items of Community Development</t>
    <phoneticPr fontId="6" type="noConversion"/>
  </si>
  <si>
    <t>Fiscal Year,
District</t>
    <phoneticPr fontId="4" type="noConversion"/>
  </si>
  <si>
    <t>No. of
Community
Development
Associations
(Units)</t>
    <phoneticPr fontId="6" type="noConversion"/>
  </si>
  <si>
    <t>No. of
Households
 of
Communities
(Households)</t>
    <phoneticPr fontId="6" type="noConversion"/>
  </si>
  <si>
    <t>No. of
Population
of
Communities
(Persons)</t>
    <phoneticPr fontId="6" type="noConversion"/>
  </si>
  <si>
    <t>No. of
Directors
and
Supervisors
(Persons)</t>
    <phoneticPr fontId="6" type="noConversion"/>
  </si>
  <si>
    <t>Persons of
Community
Development
Associations
(Persons)</t>
    <phoneticPr fontId="6" type="noConversion"/>
  </si>
  <si>
    <t>Community
Economic
Development
Fund
(Units)</t>
    <phoneticPr fontId="6" type="noConversion"/>
  </si>
  <si>
    <t>Government-
provided</t>
    <phoneticPr fontId="6" type="noConversion"/>
  </si>
  <si>
    <t>Self-
provided</t>
    <phoneticPr fontId="6" type="noConversion"/>
  </si>
  <si>
    <t>Community
Activity
Centers
(Units)</t>
    <phoneticPr fontId="6" type="noConversion"/>
  </si>
  <si>
    <t>Topic Training (Person-times)</t>
    <phoneticPr fontId="6" type="noConversion"/>
  </si>
  <si>
    <t>Community Exposition (Person-times)</t>
    <phoneticPr fontId="6" type="noConversion"/>
  </si>
  <si>
    <t>Elderly Community Club
(Places)</t>
    <phoneticPr fontId="6" type="noConversion"/>
  </si>
  <si>
    <t>Community Growth Room
(Classes)</t>
    <phoneticPr fontId="6" type="noConversion"/>
  </si>
  <si>
    <t>Community Mutual-help Programs (Teams)</t>
    <phoneticPr fontId="6" type="noConversion"/>
  </si>
  <si>
    <t>Community Folk Custom Arts and Recreation Squads (Teams)</t>
    <phoneticPr fontId="6" type="noConversion"/>
  </si>
  <si>
    <t>Teams
(Groups)</t>
    <phoneticPr fontId="6" type="noConversion"/>
  </si>
  <si>
    <t>No. of
Volunteers
(Persons)</t>
    <phoneticPr fontId="6" type="noConversion"/>
  </si>
  <si>
    <t>Community Care Centers
(Places)</t>
    <phoneticPr fontId="6" type="noConversion"/>
  </si>
  <si>
    <t>Community Libraries (Places)</t>
    <phoneticPr fontId="6" type="noConversion"/>
  </si>
  <si>
    <t>Community Publications (Serials)</t>
    <phoneticPr fontId="6" type="noConversion"/>
  </si>
  <si>
    <t>Welfare
Services or
Activities
(Beneficiary-times)</t>
    <phoneticPr fontId="6" type="noConversion"/>
  </si>
  <si>
    <t>Other
Services
(Beneficiary
-times)</t>
    <phoneticPr fontId="6" type="noConversion"/>
  </si>
  <si>
    <t>Source : Department of Social Welfare, Taoyuan City Gov.</t>
    <phoneticPr fontId="6" type="noConversion"/>
  </si>
  <si>
    <t>Table 11-6. The Disabled Population</t>
    <phoneticPr fontId="6" type="noConversion"/>
  </si>
  <si>
    <t>Unit : Persons</t>
    <phoneticPr fontId="6" type="noConversion"/>
  </si>
  <si>
    <t>With Disability Manual by Old System</t>
    <phoneticPr fontId="6" type="noConversion"/>
  </si>
  <si>
    <t>End of Year,
District</t>
    <phoneticPr fontId="6" type="noConversion"/>
  </si>
  <si>
    <t>Grand Total</t>
    <phoneticPr fontId="6" type="noConversion"/>
  </si>
  <si>
    <t>Total</t>
    <phoneticPr fontId="6" type="noConversion"/>
  </si>
  <si>
    <t>Vision
Disability</t>
    <phoneticPr fontId="6" type="noConversion"/>
  </si>
  <si>
    <t>Hearing
Dysfunction</t>
    <phoneticPr fontId="6" type="noConversion"/>
  </si>
  <si>
    <t>Balance
Dysfunction</t>
    <phoneticPr fontId="6" type="noConversion"/>
  </si>
  <si>
    <t>Voice or Speech
Dysfunction</t>
    <phoneticPr fontId="6" type="noConversion"/>
  </si>
  <si>
    <t>Limbs
Disability</t>
    <phoneticPr fontId="6" type="noConversion"/>
  </si>
  <si>
    <t>Mental
Disability</t>
    <phoneticPr fontId="6" type="noConversion"/>
  </si>
  <si>
    <t>Losing Functions of
Primary Organs</t>
    <phoneticPr fontId="6" type="noConversion"/>
  </si>
  <si>
    <t>Male</t>
    <phoneticPr fontId="6" type="noConversion"/>
  </si>
  <si>
    <t>Female</t>
    <phoneticPr fontId="6" type="noConversion"/>
  </si>
  <si>
    <t>Male</t>
  </si>
  <si>
    <t>Female</t>
  </si>
  <si>
    <t>Source : Department of Social Welfare, Taoyuan City Gov.</t>
    <phoneticPr fontId="6" type="noConversion"/>
  </si>
  <si>
    <t>Social Welfare</t>
    <phoneticPr fontId="4" type="noConversion"/>
  </si>
  <si>
    <t>Table 11-6. The Disabled Population (Cont. 1)</t>
    <phoneticPr fontId="6" type="noConversion"/>
  </si>
  <si>
    <t>Unit : Persons</t>
    <phoneticPr fontId="6" type="noConversion"/>
  </si>
  <si>
    <t>With Disability Manual by Old System</t>
    <phoneticPr fontId="6" type="noConversion"/>
  </si>
  <si>
    <t>End of Year,
District</t>
    <phoneticPr fontId="6" type="noConversion"/>
  </si>
  <si>
    <t>Suffering Facial Damage</t>
    <phoneticPr fontId="6" type="noConversion"/>
  </si>
  <si>
    <t>Vegetative State</t>
    <phoneticPr fontId="6" type="noConversion"/>
  </si>
  <si>
    <t>Dementia</t>
    <phoneticPr fontId="6" type="noConversion"/>
  </si>
  <si>
    <t>Autism</t>
    <phoneticPr fontId="6" type="noConversion"/>
  </si>
  <si>
    <t>Chronic Psychosis</t>
    <phoneticPr fontId="6" type="noConversion"/>
  </si>
  <si>
    <t>Multi-Disability</t>
    <phoneticPr fontId="6" type="noConversion"/>
  </si>
  <si>
    <t>Stubborn (Difficult-to-Cure) Epilepsy</t>
    <phoneticPr fontId="6" type="noConversion"/>
  </si>
  <si>
    <t>Caused by Infrequent Disease</t>
    <phoneticPr fontId="6" type="noConversion"/>
  </si>
  <si>
    <t>Others</t>
    <phoneticPr fontId="6" type="noConversion"/>
  </si>
  <si>
    <t>Social Welfare</t>
    <phoneticPr fontId="4" type="noConversion"/>
  </si>
  <si>
    <t>Table 11-6. The Disabled Population (Cont. 2 End)</t>
    <phoneticPr fontId="6" type="noConversion"/>
  </si>
  <si>
    <t>Unit : Persons</t>
    <phoneticPr fontId="6" type="noConversion"/>
  </si>
  <si>
    <t>With Disability Manual by New System</t>
    <phoneticPr fontId="6" type="noConversion"/>
  </si>
  <si>
    <t>End of Year,
District</t>
    <phoneticPr fontId="6" type="noConversion"/>
  </si>
  <si>
    <t>Total</t>
    <phoneticPr fontId="6" type="noConversion"/>
  </si>
  <si>
    <t>Mental Functions &amp; Structures of the Nervous System</t>
    <phoneticPr fontId="6" type="noConversion"/>
  </si>
  <si>
    <t>Sensory Functions &amp; Pain; The Eye, Ear and Related Structures</t>
    <phoneticPr fontId="6" type="noConversion"/>
  </si>
  <si>
    <t>Functions &amp; Structures of / Involved in Voice and Speech</t>
    <phoneticPr fontId="6" type="noConversion"/>
  </si>
  <si>
    <t>Functions &amp; Structures of / Related to the Cardiovascular, Haematological, Immunological and Respiratory Systems</t>
    <phoneticPr fontId="6" type="noConversion"/>
  </si>
  <si>
    <t>Functions &amp; Structures of / Related to the Digestive, Metabolic and Endocrine Systems</t>
    <phoneticPr fontId="6" type="noConversion"/>
  </si>
  <si>
    <t>Functions &amp; Structures of / Related to the Genitourinary and Reproductive Systems</t>
    <phoneticPr fontId="6" type="noConversion"/>
  </si>
  <si>
    <t>Neuromusculoskeletal and Movement Related Functions &amp; Structures</t>
    <phoneticPr fontId="6" type="noConversion"/>
  </si>
  <si>
    <t>Functions &amp; Related Structures of the Skin</t>
    <phoneticPr fontId="6" type="noConversion"/>
  </si>
  <si>
    <t>More than two Classifications</t>
    <phoneticPr fontId="6" type="noConversion"/>
  </si>
  <si>
    <t>Not Classified Temporarily</t>
    <phoneticPr fontId="6" type="noConversion"/>
  </si>
  <si>
    <t>The Disabled as a Percentage of Total Population</t>
    <phoneticPr fontId="6" type="noConversion"/>
  </si>
  <si>
    <t>Male</t>
    <phoneticPr fontId="6" type="noConversion"/>
  </si>
  <si>
    <t>Female</t>
    <phoneticPr fontId="6" type="noConversion"/>
  </si>
  <si>
    <t>Social Welfare</t>
    <phoneticPr fontId="4" type="noConversion"/>
  </si>
  <si>
    <t>Table 11-7. The Conditions of Welfare Services Institutions for the Disabled</t>
    <phoneticPr fontId="6" type="noConversion"/>
  </si>
  <si>
    <t>Unit : Places, Persons, Person-times, NT$1,000</t>
    <phoneticPr fontId="6" type="noConversion"/>
  </si>
  <si>
    <t>Welfare Institutions for the Disabled (End of Year)</t>
    <phoneticPr fontId="6" type="noConversion"/>
  </si>
  <si>
    <t>Living Assistance</t>
    <phoneticPr fontId="6" type="noConversion"/>
  </si>
  <si>
    <t>Auxiliary Appliances Assistance</t>
    <phoneticPr fontId="6" type="noConversion"/>
  </si>
  <si>
    <t>Subsidies for Nursing and the
Maintenance Expenses</t>
    <phoneticPr fontId="6" type="noConversion"/>
  </si>
  <si>
    <t>Year</t>
    <phoneticPr fontId="6" type="noConversion"/>
  </si>
  <si>
    <t>No. of Institutions</t>
    <phoneticPr fontId="6" type="noConversion"/>
  </si>
  <si>
    <t>Lodged Persons</t>
    <phoneticPr fontId="6" type="noConversion"/>
  </si>
  <si>
    <t>Person-times</t>
    <phoneticPr fontId="6" type="noConversion"/>
  </si>
  <si>
    <t>Amount</t>
    <phoneticPr fontId="6" type="noConversion"/>
  </si>
  <si>
    <t>Source : Department of Social Welfare, Taoyuan City Gov.</t>
    <phoneticPr fontId="6" type="noConversion"/>
  </si>
  <si>
    <t>Table 11-8. Persons and Living Assistance of Low-income Families</t>
    <phoneticPr fontId="6" type="noConversion"/>
  </si>
  <si>
    <t>Unit : Households, Persons, Person-times, Household-times, NT$1,000</t>
    <phoneticPr fontId="6" type="noConversion"/>
  </si>
  <si>
    <t>Grand Total (End of Year)</t>
    <phoneticPr fontId="6" type="noConversion"/>
  </si>
  <si>
    <t>Class 1</t>
    <phoneticPr fontId="6" type="noConversion"/>
  </si>
  <si>
    <t>Class 2</t>
    <phoneticPr fontId="6" type="noConversion"/>
  </si>
  <si>
    <t>Class 3</t>
    <phoneticPr fontId="6" type="noConversion"/>
  </si>
  <si>
    <t>Family Living Support</t>
    <phoneticPr fontId="6" type="noConversion"/>
  </si>
  <si>
    <t>Student Living Assistance</t>
    <phoneticPr fontId="6" type="noConversion"/>
  </si>
  <si>
    <t xml:space="preserve"> </t>
    <phoneticPr fontId="6" type="noConversion"/>
  </si>
  <si>
    <t>Year</t>
    <phoneticPr fontId="6" type="noConversion"/>
  </si>
  <si>
    <t>Households</t>
    <phoneticPr fontId="6" type="noConversion"/>
  </si>
  <si>
    <t>As a Percentage of Total Households of the City</t>
    <phoneticPr fontId="6" type="noConversion"/>
  </si>
  <si>
    <t>Persons</t>
    <phoneticPr fontId="6" type="noConversion"/>
  </si>
  <si>
    <t>As a Percentage of Total Population of the City</t>
    <phoneticPr fontId="6" type="noConversion"/>
  </si>
  <si>
    <t>Person-times</t>
    <phoneticPr fontId="6" type="noConversion"/>
  </si>
  <si>
    <t>Household-
times</t>
    <phoneticPr fontId="6" type="noConversion"/>
  </si>
  <si>
    <t>Times of Persons</t>
    <phoneticPr fontId="6" type="noConversion"/>
  </si>
  <si>
    <t>Amount
 (NT.$)</t>
    <phoneticPr fontId="6" type="noConversion"/>
  </si>
  <si>
    <t>Times of Households</t>
    <phoneticPr fontId="6" type="noConversion"/>
  </si>
  <si>
    <t>Amount
(NT.$)</t>
    <phoneticPr fontId="6" type="noConversion"/>
  </si>
  <si>
    <t>Social Welfare</t>
    <phoneticPr fontId="4" type="noConversion"/>
  </si>
  <si>
    <t>Table 11-8. Persons and Living Assistance of Low-Income Families (Cont.)</t>
    <phoneticPr fontId="6" type="noConversion"/>
  </si>
  <si>
    <t>Unit : Persons, Person-times, NT$1,000, Household-times</t>
    <phoneticPr fontId="6" type="noConversion"/>
  </si>
  <si>
    <t>Social Welfare</t>
    <phoneticPr fontId="4" type="noConversion"/>
  </si>
  <si>
    <t>Unit : Households, Persons, Person-times, NT$1,000</t>
    <phoneticPr fontId="6" type="noConversion"/>
  </si>
  <si>
    <t>Employment Counseling</t>
    <phoneticPr fontId="6" type="noConversion"/>
  </si>
  <si>
    <t>Nutrition Subsidies for Puerperas and Infants</t>
    <phoneticPr fontId="6" type="noConversion"/>
  </si>
  <si>
    <t>Nursing
Subsidies</t>
    <phoneticPr fontId="6" type="noConversion"/>
  </si>
  <si>
    <t>Education
Subsidies</t>
    <phoneticPr fontId="6" type="noConversion"/>
  </si>
  <si>
    <t>Funeral
Subsidies</t>
    <phoneticPr fontId="6" type="noConversion"/>
  </si>
  <si>
    <t>Home Care
Services</t>
    <phoneticPr fontId="6" type="noConversion"/>
  </si>
  <si>
    <t>Procreation
Subsidies</t>
    <phoneticPr fontId="6" type="noConversion"/>
  </si>
  <si>
    <t>Other Necessary Assistance and Services</t>
    <phoneticPr fontId="6" type="noConversion"/>
  </si>
  <si>
    <t>-</t>
    <phoneticPr fontId="6" type="noConversion"/>
  </si>
  <si>
    <t>Unit : Persons , NT$1,000</t>
    <phoneticPr fontId="6" type="noConversion"/>
  </si>
  <si>
    <t>Living Allowance for Mid or Low Income Elders</t>
    <phoneticPr fontId="6" type="noConversion"/>
  </si>
  <si>
    <t>Class 1</t>
    <phoneticPr fontId="6" type="noConversion"/>
  </si>
  <si>
    <t>Class 2</t>
    <phoneticPr fontId="6" type="noConversion"/>
  </si>
  <si>
    <t>Class 3</t>
    <phoneticPr fontId="6" type="noConversion"/>
  </si>
  <si>
    <t>Amount</t>
    <phoneticPr fontId="6" type="noConversion"/>
  </si>
  <si>
    <t>Total</t>
  </si>
  <si>
    <t>Old-Age Farmers Welfare Allowance</t>
    <phoneticPr fontId="6" type="noConversion"/>
  </si>
  <si>
    <t>No. of Persons Receiving</t>
    <phoneticPr fontId="6" type="noConversion"/>
  </si>
  <si>
    <t>No. of Amount Receiving</t>
    <phoneticPr fontId="6" type="noConversion"/>
  </si>
  <si>
    <t>Allowance Beneficiaries as a Percentage of Population of the Aged 65 and Over
(%)</t>
    <phoneticPr fontId="6" type="noConversion"/>
  </si>
  <si>
    <t>Table 11-11. General Conditions of Social Assistance in Medical Subsidies</t>
    <phoneticPr fontId="6" type="noConversion"/>
  </si>
  <si>
    <t>Unit : Person-times, Day, NT$</t>
    <phoneticPr fontId="6" type="noConversion"/>
  </si>
  <si>
    <t>Amount of Assistance</t>
    <phoneticPr fontId="6" type="noConversion"/>
  </si>
  <si>
    <t>Number of Inpatient</t>
    <phoneticPr fontId="6" type="noConversion"/>
  </si>
  <si>
    <t>Total Days of  Inpatient</t>
    <phoneticPr fontId="6" type="noConversion"/>
  </si>
  <si>
    <t>Low Income Family</t>
    <phoneticPr fontId="6" type="noConversion"/>
  </si>
  <si>
    <t>Number of Outpatient</t>
    <phoneticPr fontId="6" type="noConversion"/>
  </si>
  <si>
    <t>Medicaid of Inpatient</t>
    <phoneticPr fontId="6" type="noConversion"/>
  </si>
  <si>
    <t>Assistance for Outpatient Services</t>
    <phoneticPr fontId="6" type="noConversion"/>
  </si>
  <si>
    <t>Table 11-12. General Conditions of Aid for Disasters and Emergencies</t>
    <phoneticPr fontId="6" type="noConversion"/>
  </si>
  <si>
    <t>Unit : Person-times , NT$</t>
    <phoneticPr fontId="4" type="noConversion"/>
  </si>
  <si>
    <t>Amount</t>
  </si>
  <si>
    <t>Grand Total</t>
    <phoneticPr fontId="6" type="noConversion"/>
  </si>
  <si>
    <t>No Money to Handle Funeral
and Burial in Case of the Death</t>
    <phoneticPr fontId="6" type="noConversion"/>
  </si>
  <si>
    <t>One Who is Hard in Living Unexpectedly</t>
    <phoneticPr fontId="6" type="noConversion"/>
  </si>
  <si>
    <t>No.of
Beneficiary-times</t>
    <phoneticPr fontId="6" type="noConversion"/>
  </si>
  <si>
    <t>No.of
Beneficiary-times</t>
    <phoneticPr fontId="6" type="noConversion"/>
  </si>
  <si>
    <t>Table 11-12. General Conditions of Aid for Disasters and Emergencies (Cont.)</t>
    <phoneticPr fontId="6" type="noConversion"/>
  </si>
  <si>
    <t>Impoverished due to the Inability of the Bread Winner to work</t>
    <phoneticPr fontId="6" type="noConversion"/>
  </si>
  <si>
    <t>Impoverished due to Property or Deposit Being Inaccessible</t>
    <phoneticPr fontId="6" type="noConversion"/>
  </si>
  <si>
    <t>Impoverished due to Other Major Causes</t>
    <phoneticPr fontId="6" type="noConversion"/>
  </si>
  <si>
    <t>Without Dependents
and Inheritance</t>
    <phoneticPr fontId="6" type="noConversion"/>
  </si>
  <si>
    <t>Table 11-13. Aid Situations of Disasters</t>
    <phoneticPr fontId="6" type="noConversion"/>
  </si>
  <si>
    <t>No. of Victims (Persons)</t>
    <phoneticPr fontId="6" type="noConversion"/>
  </si>
  <si>
    <t xml:space="preserve">Year </t>
    <phoneticPr fontId="6" type="noConversion"/>
  </si>
  <si>
    <t>Times of Disasters
(Times)</t>
    <phoneticPr fontId="6" type="noConversion"/>
  </si>
  <si>
    <t>Shelters
(Places)</t>
    <phoneticPr fontId="6" type="noConversion"/>
  </si>
  <si>
    <t>Victims Temp. Sheltered
(Persons)</t>
    <phoneticPr fontId="6" type="noConversion"/>
  </si>
  <si>
    <t>Death</t>
    <phoneticPr fontId="6" type="noConversion"/>
  </si>
  <si>
    <t>Disappearance</t>
    <phoneticPr fontId="6" type="noConversion"/>
  </si>
  <si>
    <t>Serious Injuries</t>
    <phoneticPr fontId="6" type="noConversion"/>
  </si>
  <si>
    <t>No. of Households
(Households)</t>
    <phoneticPr fontId="6" type="noConversion"/>
  </si>
  <si>
    <t>No. of Persons
(Persons)</t>
    <phoneticPr fontId="6" type="noConversion"/>
  </si>
  <si>
    <t>Losing Property
Impacting Living
(Households)</t>
    <phoneticPr fontId="6" type="noConversion"/>
  </si>
  <si>
    <t>Amount
(NT$1,000)</t>
    <phoneticPr fontId="6" type="noConversion"/>
  </si>
  <si>
    <t>Note : The flooding on June 11th, 2012 caused the serious financial damage.</t>
    <phoneticPr fontId="6" type="noConversion"/>
  </si>
  <si>
    <t>Table 11-14. Number and Handled Conditions of Homeless People</t>
    <phoneticPr fontId="6" type="noConversion"/>
  </si>
  <si>
    <t>Vagrant Handling Cases (Person-times)</t>
    <phoneticPr fontId="6" type="noConversion"/>
  </si>
  <si>
    <t>Treating Homeless
People by Receiving
or Investigating Reports
(Persons, Cases)</t>
    <phoneticPr fontId="6" type="noConversion"/>
  </si>
  <si>
    <t>To Help Return Home</t>
    <phoneticPr fontId="6" type="noConversion"/>
  </si>
  <si>
    <t>Caring
Services</t>
    <phoneticPr fontId="6" type="noConversion"/>
  </si>
  <si>
    <t>Festival
Activities</t>
    <phoneticPr fontId="6" type="noConversion"/>
  </si>
  <si>
    <t>To Welfare
Services</t>
    <phoneticPr fontId="6" type="noConversion"/>
  </si>
  <si>
    <t>To Obtain Employment Services</t>
    <phoneticPr fontId="6" type="noConversion"/>
  </si>
  <si>
    <t>Death</t>
    <phoneticPr fontId="6" type="noConversion"/>
  </si>
  <si>
    <t>Subtotal</t>
    <phoneticPr fontId="6" type="noConversion"/>
  </si>
  <si>
    <t>Spirit-
sanatorium</t>
    <phoneticPr fontId="6" type="noConversion"/>
  </si>
  <si>
    <t>Senior
Caring Org.</t>
    <phoneticPr fontId="6" type="noConversion"/>
  </si>
  <si>
    <t>Senior
Nursing Org.</t>
    <phoneticPr fontId="6" type="noConversion"/>
  </si>
  <si>
    <t>Disabled
Institutes</t>
    <phoneticPr fontId="6" type="noConversion"/>
  </si>
  <si>
    <t>Vagrant
Accepting Org.</t>
    <phoneticPr fontId="6" type="noConversion"/>
  </si>
  <si>
    <t>Other Org.</t>
    <phoneticPr fontId="6" type="noConversion"/>
  </si>
  <si>
    <t>Table 11-15. The Conditions of Elderly Welfare Services</t>
    <phoneticPr fontId="6" type="noConversion"/>
  </si>
  <si>
    <t>Unit : Places, Persons, Person-times</t>
    <phoneticPr fontId="6" type="noConversion"/>
  </si>
  <si>
    <t>Elderly Long-term Care and Caring Institutions, End of Year</t>
    <phoneticPr fontId="6" type="noConversion"/>
  </si>
  <si>
    <t>Long-term Care Organizations</t>
    <phoneticPr fontId="6" type="noConversion"/>
  </si>
  <si>
    <t>Elderly Community Shelters, End of Year</t>
    <phoneticPr fontId="6" type="noConversion"/>
  </si>
  <si>
    <t>Caring Institutions</t>
    <phoneticPr fontId="6" type="noConversion"/>
  </si>
  <si>
    <t>Long-term Nursing Organizations</t>
    <phoneticPr fontId="6" type="noConversion"/>
  </si>
  <si>
    <t>Nursing Organizations</t>
    <phoneticPr fontId="6" type="noConversion"/>
  </si>
  <si>
    <t>Care Organizations for Dementia Senior Citizens</t>
    <phoneticPr fontId="6" type="noConversion"/>
  </si>
  <si>
    <t>Housing Persons</t>
    <phoneticPr fontId="6" type="noConversion"/>
  </si>
  <si>
    <t>No. of 
Institutions</t>
    <phoneticPr fontId="6" type="noConversion"/>
  </si>
  <si>
    <t>Table 11-16. The Conditions of Children and Youths Welfare Services</t>
    <phoneticPr fontId="6" type="noConversion"/>
  </si>
  <si>
    <t>Children and Youths Welfare Institutions</t>
    <phoneticPr fontId="6" type="noConversion"/>
  </si>
  <si>
    <t>Children Foster Care, End of Year</t>
    <phoneticPr fontId="6" type="noConversion"/>
  </si>
  <si>
    <t>Disadvantaged Children and Youths</t>
    <phoneticPr fontId="6" type="noConversion"/>
  </si>
  <si>
    <t>Residential Institutions, End of Year</t>
    <phoneticPr fontId="6" type="noConversion"/>
  </si>
  <si>
    <t>Counceling Service Agencies</t>
    <phoneticPr fontId="6" type="noConversion"/>
  </si>
  <si>
    <t>No. of Fostered
Children and Youths</t>
    <phoneticPr fontId="6" type="noConversion"/>
  </si>
  <si>
    <t>Living Support</t>
    <phoneticPr fontId="6" type="noConversion"/>
  </si>
  <si>
    <t>Medicaid</t>
    <phoneticPr fontId="6" type="noConversion"/>
  </si>
  <si>
    <t>Childcare Subsidies
(Allowance)</t>
    <phoneticPr fontId="6" type="noConversion"/>
  </si>
  <si>
    <t>Times of
Attened
Persons of
Recreation
Activities</t>
    <phoneticPr fontId="6" type="noConversion"/>
  </si>
  <si>
    <t>No. of Inmates</t>
    <phoneticPr fontId="6" type="noConversion"/>
  </si>
  <si>
    <t>Person-times Serviced</t>
    <phoneticPr fontId="6" type="noConversion"/>
  </si>
  <si>
    <t>No. of
Households
(Households)</t>
    <phoneticPr fontId="6" type="noConversion"/>
  </si>
  <si>
    <t>No. of 
Institutions,
End of Year</t>
    <phoneticPr fontId="6" type="noConversion"/>
  </si>
  <si>
    <t>Grand Total</t>
  </si>
  <si>
    <t>Public Day-care Centers</t>
    <phoneticPr fontId="6" type="noConversion"/>
  </si>
  <si>
    <t>Private Day-care Centers</t>
    <phoneticPr fontId="6" type="noConversion"/>
  </si>
  <si>
    <t>End of Year</t>
    <phoneticPr fontId="6" type="noConversion"/>
  </si>
  <si>
    <t>No. of
Nursery</t>
    <phoneticPr fontId="6" type="noConversion"/>
  </si>
  <si>
    <t>No. of Child</t>
    <phoneticPr fontId="6" type="noConversion"/>
  </si>
  <si>
    <t>No. of Staffs
and Workers</t>
    <phoneticPr fontId="6" type="noConversion"/>
  </si>
  <si>
    <t xml:space="preserve">Childcare Assistant </t>
    <phoneticPr fontId="6" type="noConversion"/>
  </si>
  <si>
    <t>No. of Nursery</t>
    <phoneticPr fontId="6" type="noConversion"/>
  </si>
  <si>
    <t xml:space="preserve">Childcare
Assistant </t>
    <phoneticPr fontId="6" type="noConversion"/>
  </si>
  <si>
    <t>Public Infant Care Centers</t>
    <phoneticPr fontId="6" type="noConversion"/>
  </si>
  <si>
    <t>Public Ins. Run by Private Ins. Infant Care Centers</t>
    <phoneticPr fontId="6" type="noConversion"/>
  </si>
  <si>
    <t>After-school Children Care Centers</t>
    <phoneticPr fontId="6" type="noConversion"/>
  </si>
  <si>
    <t>No. of
Organi-
zations</t>
    <phoneticPr fontId="6" type="noConversion"/>
  </si>
  <si>
    <t>No. of
Cared</t>
    <phoneticPr fontId="6" type="noConversion"/>
  </si>
  <si>
    <t>No. of
Professional
Workers</t>
    <phoneticPr fontId="6" type="noConversion"/>
  </si>
  <si>
    <t>Nursemaid</t>
    <phoneticPr fontId="6" type="noConversion"/>
  </si>
  <si>
    <t>Child Care
(Included
Assistant)
Workers</t>
    <phoneticPr fontId="6" type="noConversion"/>
  </si>
  <si>
    <t>Table 11-19. The Conditions of Assistance Service for Families in Hardship</t>
    <phoneticPr fontId="6" type="noConversion"/>
  </si>
  <si>
    <t>Unit : Person-times, NT$</t>
    <phoneticPr fontId="6" type="noConversion"/>
  </si>
  <si>
    <t>Grand Total</t>
    <phoneticPr fontId="6" type="noConversion"/>
  </si>
  <si>
    <t>Emergency Assistance for Livelihood</t>
    <phoneticPr fontId="6" type="noConversion"/>
  </si>
  <si>
    <t>Medical Subsidies</t>
    <phoneticPr fontId="6" type="noConversion"/>
  </si>
  <si>
    <t>Subsidies of Litigation</t>
    <phoneticPr fontId="6" type="noConversion"/>
  </si>
  <si>
    <t>Children Living Allowance</t>
    <phoneticPr fontId="6" type="noConversion"/>
  </si>
  <si>
    <t>Children Nursery Allowance</t>
    <phoneticPr fontId="6" type="noConversion"/>
  </si>
  <si>
    <t>No.of
Beneficiary-times</t>
    <phoneticPr fontId="6" type="noConversion"/>
  </si>
  <si>
    <t>No.of
Beneficiary-times</t>
  </si>
  <si>
    <t xml:space="preserve">Note : The beneficiary-times of emergency assistance for livelihood, children living allowance, and children nursery </t>
    <phoneticPr fontId="6" type="noConversion"/>
  </si>
  <si>
    <t>Table 11-20. Social Welfare Personnel</t>
    <phoneticPr fontId="4" type="noConversion"/>
  </si>
  <si>
    <t>Administrators</t>
    <phoneticPr fontId="4" type="noConversion"/>
  </si>
  <si>
    <t>Social Workers</t>
  </si>
  <si>
    <t>Licensed Social Workers</t>
    <phoneticPr fontId="4" type="noConversion"/>
  </si>
  <si>
    <t>Specialists</t>
    <phoneticPr fontId="4" type="noConversion"/>
  </si>
  <si>
    <t>Note : 1.The figures in this table are made up according to the ratio of actual time spent for the particular business transaction to the</t>
    <phoneticPr fontId="6" type="noConversion"/>
  </si>
  <si>
    <t xml:space="preserve">              actual working hours.</t>
    <phoneticPr fontId="6" type="noConversion"/>
  </si>
  <si>
    <t>Table 11-21. Reported Cases of Sexual Assault</t>
    <phoneticPr fontId="4" type="noConversion"/>
  </si>
  <si>
    <t>Victims (Persons)</t>
    <phoneticPr fontId="6" type="noConversion"/>
  </si>
  <si>
    <t>Age</t>
    <phoneticPr fontId="6" type="noConversion"/>
  </si>
  <si>
    <t>No. of
Reported Cases
(Cases)</t>
    <phoneticPr fontId="6" type="noConversion"/>
  </si>
  <si>
    <t>Sex</t>
    <phoneticPr fontId="6" type="noConversion"/>
  </si>
  <si>
    <t>Total</t>
    <phoneticPr fontId="6" type="noConversion"/>
  </si>
  <si>
    <t>Male</t>
    <phoneticPr fontId="6" type="noConversion"/>
  </si>
  <si>
    <t>Female</t>
    <phoneticPr fontId="6" type="noConversion"/>
  </si>
  <si>
    <t>Unspecified</t>
    <phoneticPr fontId="6" type="noConversion"/>
  </si>
  <si>
    <t>0-5 Years</t>
    <phoneticPr fontId="6" type="noConversion"/>
  </si>
  <si>
    <t>6-11 Years</t>
    <phoneticPr fontId="6" type="noConversion"/>
  </si>
  <si>
    <t>12-17 Years</t>
    <phoneticPr fontId="6" type="noConversion"/>
  </si>
  <si>
    <t>18-23 Years</t>
    <phoneticPr fontId="6" type="noConversion"/>
  </si>
  <si>
    <t>24-29 Years</t>
    <phoneticPr fontId="6" type="noConversion"/>
  </si>
  <si>
    <t>30-39 Years</t>
    <phoneticPr fontId="6" type="noConversion"/>
  </si>
  <si>
    <t>40-49 Years</t>
    <phoneticPr fontId="6" type="noConversion"/>
  </si>
  <si>
    <t>50-64 Years</t>
    <phoneticPr fontId="6" type="noConversion"/>
  </si>
  <si>
    <t>65 Years and Over</t>
    <phoneticPr fontId="6" type="noConversion"/>
  </si>
  <si>
    <t>Table 11-22. Reported Cases of Domestic Violence</t>
    <phoneticPr fontId="4" type="noConversion"/>
  </si>
  <si>
    <t>Unit : Cases</t>
    <phoneticPr fontId="6" type="noConversion"/>
  </si>
  <si>
    <t>No. of Reported Cases</t>
    <phoneticPr fontId="6" type="noConversion"/>
  </si>
  <si>
    <t>By Victim-offender Relationship</t>
    <phoneticPr fontId="6" type="noConversion"/>
  </si>
  <si>
    <t>By Types of Cases</t>
    <phoneticPr fontId="6" type="noConversion"/>
  </si>
  <si>
    <t>Year</t>
    <phoneticPr fontId="6" type="noConversion"/>
  </si>
  <si>
    <t>Spouses</t>
    <phoneticPr fontId="6" type="noConversion"/>
  </si>
  <si>
    <t>Other Family Members Previously Living Together</t>
    <phoneticPr fontId="6" type="noConversion"/>
  </si>
  <si>
    <t>Total</t>
    <phoneticPr fontId="6" type="noConversion"/>
  </si>
  <si>
    <t>Violence of Marriage, Divorce or Cohabition  Relationship</t>
    <phoneticPr fontId="6" type="noConversion"/>
  </si>
  <si>
    <t>Children and Youths
Protection</t>
    <phoneticPr fontId="6" type="noConversion"/>
  </si>
  <si>
    <t>Elder Abuse</t>
    <phoneticPr fontId="6" type="noConversion"/>
  </si>
  <si>
    <t>Others</t>
    <phoneticPr fontId="6" type="noConversion"/>
  </si>
  <si>
    <t>Former Spouse 
(Divorced)</t>
    <phoneticPr fontId="6" type="noConversion"/>
  </si>
  <si>
    <t>Cohabi-
tation</t>
    <phoneticPr fontId="6" type="noConversion"/>
  </si>
  <si>
    <t>Separation</t>
    <phoneticPr fontId="6" type="noConversion"/>
  </si>
  <si>
    <t>Lineal Relative by Blood</t>
    <phoneticPr fontId="6" type="noConversion"/>
  </si>
  <si>
    <t>Lineal Relative by Marriage</t>
    <phoneticPr fontId="6" type="noConversion"/>
  </si>
  <si>
    <t>Cohabiting Relationship</t>
    <phoneticPr fontId="6" type="noConversion"/>
  </si>
  <si>
    <t>Collateral  Relative by Marriage within Four Degrees of Kinship</t>
    <phoneticPr fontId="6" type="noConversion"/>
  </si>
  <si>
    <t>Household Members</t>
    <phoneticPr fontId="6" type="noConversion"/>
  </si>
  <si>
    <t>Householder and Household Members</t>
    <phoneticPr fontId="6" type="noConversion"/>
  </si>
  <si>
    <t>Source : Department of Social Welfare, Taoyuan City Gov.</t>
    <phoneticPr fontId="6" type="noConversion"/>
  </si>
  <si>
    <t>Table 11-22. Reported Cases of Domestic Violence (Cont.)</t>
    <phoneticPr fontId="4" type="noConversion"/>
  </si>
  <si>
    <t>Unit : Cases</t>
    <phoneticPr fontId="6" type="noConversion"/>
  </si>
  <si>
    <t>No. of Reported Cases</t>
    <phoneticPr fontId="6" type="noConversion"/>
  </si>
  <si>
    <t>By Victim-offender Relationship</t>
    <phoneticPr fontId="6" type="noConversion"/>
  </si>
  <si>
    <t>Other Family Members Currently Living Together</t>
    <phoneticPr fontId="6" type="noConversion"/>
  </si>
  <si>
    <t>Lineal Relative by Blood</t>
  </si>
  <si>
    <t>Lineal Relative by Marriage</t>
  </si>
  <si>
    <t>Cohabiting Relationship</t>
  </si>
  <si>
    <t>Collateral  Relative by Marriage within Four Degrees of Kinship</t>
  </si>
  <si>
    <t>Household Members</t>
  </si>
  <si>
    <t>Householder and Household Members</t>
  </si>
  <si>
    <t xml:space="preserve">Other </t>
  </si>
  <si>
    <t>Social Welfare
Services Centers</t>
    <phoneticPr fontId="6" type="noConversion"/>
  </si>
  <si>
    <t>Homes for the Elderly</t>
    <phoneticPr fontId="6" type="noConversion"/>
  </si>
  <si>
    <t>Persons at End of Year</t>
    <phoneticPr fontId="6" type="noConversion"/>
  </si>
  <si>
    <t>Having Drifted Away from Home and No Money to 
Return Home</t>
    <phoneticPr fontId="6" type="noConversion"/>
  </si>
  <si>
    <t>Subtotal</t>
    <phoneticPr fontId="6" type="noConversion"/>
  </si>
  <si>
    <t>Collateral Relative by Blood within Four Degrees of Kinship</t>
    <phoneticPr fontId="6" type="noConversion"/>
  </si>
  <si>
    <t>Note: 1. Other temples included Yellow Emperor Sect, the Lord of Universe Church, Celestial Virtue Sect, Three-in-One Religion</t>
    <phoneticPr fontId="6" type="noConversion"/>
  </si>
  <si>
    <t>Combined with Counseling Resources to Rent</t>
    <phoneticPr fontId="6" type="noConversion"/>
  </si>
  <si>
    <t xml:space="preserve">     Public Sectors</t>
    <phoneticPr fontId="4" type="noConversion"/>
  </si>
  <si>
    <t xml:space="preserve">         Administrative District Offices</t>
    <phoneticPr fontId="6" type="noConversion"/>
  </si>
  <si>
    <t xml:space="preserve">         Other Welfare Organizations </t>
    <phoneticPr fontId="6" type="noConversion"/>
  </si>
  <si>
    <t xml:space="preserve">     Government-owned,Contractor-</t>
    <phoneticPr fontId="6" type="noConversion"/>
  </si>
  <si>
    <t xml:space="preserve">     operated Organizations</t>
    <phoneticPr fontId="6" type="noConversion"/>
  </si>
  <si>
    <t xml:space="preserve">          Department of Social Welfare  </t>
    <phoneticPr fontId="6" type="noConversion"/>
  </si>
  <si>
    <r>
      <rPr>
        <sz val="10"/>
        <rFont val="華康粗圓體"/>
        <family val="3"/>
        <charset val="136"/>
      </rPr>
      <t>年底別</t>
    </r>
    <phoneticPr fontId="4" type="noConversion"/>
  </si>
  <si>
    <r>
      <rPr>
        <sz val="10"/>
        <rFont val="華康粗圓體"/>
        <family val="3"/>
        <charset val="136"/>
      </rPr>
      <t>社會團體</t>
    </r>
    <phoneticPr fontId="6" type="noConversion"/>
  </si>
  <si>
    <r>
      <rPr>
        <sz val="10"/>
        <rFont val="華康粗圓體"/>
        <family val="3"/>
        <charset val="136"/>
      </rPr>
      <t>合計</t>
    </r>
    <phoneticPr fontId="4" type="noConversion"/>
  </si>
  <si>
    <r>
      <rPr>
        <sz val="10"/>
        <rFont val="華康粗圓體"/>
        <family val="3"/>
        <charset val="136"/>
      </rPr>
      <t>漁會</t>
    </r>
    <r>
      <rPr>
        <sz val="8.5"/>
        <rFont val="華康粗圓體"/>
        <family val="3"/>
        <charset val="136"/>
      </rPr>
      <t/>
    </r>
    <phoneticPr fontId="4" type="noConversion"/>
  </si>
  <si>
    <r>
      <rPr>
        <sz val="10"/>
        <rFont val="華康粗圓體"/>
        <family val="3"/>
        <charset val="136"/>
      </rPr>
      <t>工會</t>
    </r>
    <phoneticPr fontId="4" type="noConversion"/>
  </si>
  <si>
    <r>
      <rPr>
        <sz val="10"/>
        <rFont val="華康粗圓體"/>
        <family val="3"/>
        <charset val="136"/>
      </rPr>
      <t>工業團體</t>
    </r>
    <phoneticPr fontId="6" type="noConversion"/>
  </si>
  <si>
    <r>
      <rPr>
        <sz val="10"/>
        <rFont val="華康粗圓體"/>
        <family val="3"/>
        <charset val="136"/>
      </rPr>
      <t>商業團體</t>
    </r>
    <phoneticPr fontId="6" type="noConversion"/>
  </si>
  <si>
    <r>
      <rPr>
        <sz val="10"/>
        <rFont val="華康粗圓體"/>
        <family val="3"/>
        <charset val="136"/>
      </rPr>
      <t>合計</t>
    </r>
    <phoneticPr fontId="6" type="noConversion"/>
  </si>
  <si>
    <r>
      <rPr>
        <sz val="10"/>
        <rFont val="華康粗圓體"/>
        <family val="3"/>
        <charset val="136"/>
      </rPr>
      <t>學術文化
團　　體</t>
    </r>
    <phoneticPr fontId="6" type="noConversion"/>
  </si>
  <si>
    <r>
      <rPr>
        <sz val="10"/>
        <rFont val="華康粗圓體"/>
        <family val="3"/>
        <charset val="136"/>
      </rPr>
      <t>醫療衛生
團　　體</t>
    </r>
    <phoneticPr fontId="6" type="noConversion"/>
  </si>
  <si>
    <r>
      <rPr>
        <sz val="10"/>
        <rFont val="華康粗圓體"/>
        <family val="3"/>
        <charset val="136"/>
      </rPr>
      <t>宗教團體</t>
    </r>
    <phoneticPr fontId="6" type="noConversion"/>
  </si>
  <si>
    <r>
      <rPr>
        <sz val="10"/>
        <rFont val="華康粗圓體"/>
        <family val="3"/>
        <charset val="136"/>
      </rPr>
      <t>國際團體</t>
    </r>
    <phoneticPr fontId="6" type="noConversion"/>
  </si>
  <si>
    <r>
      <rPr>
        <sz val="10"/>
        <rFont val="華康粗圓體"/>
        <family val="3"/>
        <charset val="136"/>
      </rPr>
      <t>其他</t>
    </r>
    <phoneticPr fontId="6" type="noConversion"/>
  </si>
  <si>
    <r>
      <rPr>
        <sz val="10"/>
        <rFont val="華康粗圓體"/>
        <family val="3"/>
        <charset val="136"/>
      </rPr>
      <t>民國</t>
    </r>
    <r>
      <rPr>
        <sz val="10"/>
        <rFont val="Arial Narrow"/>
        <family val="2"/>
      </rPr>
      <t>98</t>
    </r>
    <r>
      <rPr>
        <sz val="10"/>
        <rFont val="華康粗圓體"/>
        <family val="3"/>
        <charset val="136"/>
      </rPr>
      <t xml:space="preserve">年底
</t>
    </r>
    <r>
      <rPr>
        <sz val="10"/>
        <rFont val="Arial Narrow"/>
        <family val="2"/>
      </rPr>
      <t>End of 2009</t>
    </r>
    <phoneticPr fontId="6" type="noConversion"/>
  </si>
  <si>
    <r>
      <rPr>
        <sz val="10"/>
        <rFont val="華康粗圓體"/>
        <family val="3"/>
        <charset val="136"/>
      </rPr>
      <t>民國</t>
    </r>
    <r>
      <rPr>
        <sz val="10"/>
        <rFont val="Arial Narrow"/>
        <family val="2"/>
      </rPr>
      <t>99</t>
    </r>
    <r>
      <rPr>
        <sz val="10"/>
        <rFont val="華康粗圓體"/>
        <family val="3"/>
        <charset val="136"/>
      </rPr>
      <t xml:space="preserve">年底
</t>
    </r>
    <r>
      <rPr>
        <sz val="10"/>
        <rFont val="Arial Narrow"/>
        <family val="2"/>
      </rPr>
      <t>End of 2010</t>
    </r>
    <phoneticPr fontId="6" type="noConversion"/>
  </si>
  <si>
    <r>
      <rPr>
        <sz val="10"/>
        <rFont val="華康粗圓體"/>
        <family val="3"/>
        <charset val="136"/>
      </rPr>
      <t>民國</t>
    </r>
    <r>
      <rPr>
        <sz val="10"/>
        <rFont val="Arial Narrow"/>
        <family val="2"/>
      </rPr>
      <t>100</t>
    </r>
    <r>
      <rPr>
        <sz val="10"/>
        <rFont val="華康粗圓體"/>
        <family val="3"/>
        <charset val="136"/>
      </rPr>
      <t xml:space="preserve">年底
</t>
    </r>
    <r>
      <rPr>
        <sz val="10"/>
        <rFont val="Arial Narrow"/>
        <family val="2"/>
      </rPr>
      <t>End of 2011</t>
    </r>
    <phoneticPr fontId="6" type="noConversion"/>
  </si>
  <si>
    <r>
      <rPr>
        <sz val="10"/>
        <rFont val="華康粗圓體"/>
        <family val="3"/>
        <charset val="136"/>
      </rPr>
      <t>民國</t>
    </r>
    <r>
      <rPr>
        <sz val="10"/>
        <rFont val="Arial Narrow"/>
        <family val="2"/>
      </rPr>
      <t>101</t>
    </r>
    <r>
      <rPr>
        <sz val="10"/>
        <rFont val="華康粗圓體"/>
        <family val="3"/>
        <charset val="136"/>
      </rPr>
      <t xml:space="preserve">年底
</t>
    </r>
    <r>
      <rPr>
        <sz val="10"/>
        <rFont val="Arial Narrow"/>
        <family val="2"/>
      </rPr>
      <t>End of 2012</t>
    </r>
    <phoneticPr fontId="6" type="noConversion"/>
  </si>
  <si>
    <r>
      <rPr>
        <sz val="10"/>
        <rFont val="華康粗圓體"/>
        <family val="3"/>
        <charset val="136"/>
      </rPr>
      <t>民國</t>
    </r>
    <r>
      <rPr>
        <sz val="10"/>
        <rFont val="Arial Narrow"/>
        <family val="2"/>
      </rPr>
      <t>102</t>
    </r>
    <r>
      <rPr>
        <sz val="10"/>
        <rFont val="華康粗圓體"/>
        <family val="3"/>
        <charset val="136"/>
      </rPr>
      <t xml:space="preserve">年底
</t>
    </r>
    <r>
      <rPr>
        <sz val="10"/>
        <rFont val="Arial Narrow"/>
        <family val="2"/>
      </rPr>
      <t>End of 2013</t>
    </r>
    <phoneticPr fontId="6" type="noConversion"/>
  </si>
  <si>
    <r>
      <rPr>
        <sz val="10"/>
        <rFont val="華康粗圓體"/>
        <family val="3"/>
        <charset val="136"/>
      </rPr>
      <t>民國</t>
    </r>
    <r>
      <rPr>
        <sz val="10"/>
        <rFont val="Arial Narrow"/>
        <family val="2"/>
      </rPr>
      <t>103</t>
    </r>
    <r>
      <rPr>
        <sz val="10"/>
        <rFont val="華康粗圓體"/>
        <family val="3"/>
        <charset val="136"/>
      </rPr>
      <t xml:space="preserve">年底
</t>
    </r>
    <r>
      <rPr>
        <sz val="10"/>
        <rFont val="Arial Narrow"/>
        <family val="2"/>
      </rPr>
      <t>End of 2014</t>
    </r>
    <phoneticPr fontId="6" type="noConversion"/>
  </si>
  <si>
    <r>
      <rPr>
        <sz val="10"/>
        <rFont val="華康粗圓體"/>
        <family val="3"/>
        <charset val="136"/>
      </rPr>
      <t>民國</t>
    </r>
    <r>
      <rPr>
        <sz val="10"/>
        <rFont val="Arial Narrow"/>
        <family val="2"/>
      </rPr>
      <t>104</t>
    </r>
    <r>
      <rPr>
        <sz val="10"/>
        <rFont val="華康粗圓體"/>
        <family val="3"/>
        <charset val="136"/>
      </rPr>
      <t xml:space="preserve">年底
</t>
    </r>
    <r>
      <rPr>
        <sz val="10"/>
        <rFont val="Arial Narrow"/>
        <family val="2"/>
      </rPr>
      <t>End of 2015</t>
    </r>
    <phoneticPr fontId="6" type="noConversion"/>
  </si>
  <si>
    <r>
      <rPr>
        <sz val="10"/>
        <rFont val="華康粗圓體"/>
        <family val="3"/>
        <charset val="136"/>
      </rPr>
      <t>年別</t>
    </r>
    <phoneticPr fontId="6" type="noConversion"/>
  </si>
  <si>
    <r>
      <rPr>
        <sz val="10"/>
        <rFont val="華康粗圓體"/>
        <family val="3"/>
        <charset val="136"/>
      </rPr>
      <t>通報件數</t>
    </r>
    <phoneticPr fontId="6" type="noConversion"/>
  </si>
  <si>
    <r>
      <rPr>
        <sz val="10"/>
        <rFont val="華康粗圓體"/>
        <family val="3"/>
        <charset val="136"/>
      </rPr>
      <t>被害人</t>
    </r>
    <r>
      <rPr>
        <sz val="10"/>
        <rFont val="Arial Narrow"/>
        <family val="2"/>
      </rPr>
      <t xml:space="preserve"> (</t>
    </r>
    <r>
      <rPr>
        <sz val="10"/>
        <rFont val="華康粗圓體"/>
        <family val="3"/>
        <charset val="136"/>
      </rPr>
      <t>人</t>
    </r>
    <r>
      <rPr>
        <sz val="10"/>
        <rFont val="Arial Narrow"/>
        <family val="2"/>
      </rPr>
      <t>)</t>
    </r>
    <phoneticPr fontId="6" type="noConversion"/>
  </si>
  <si>
    <r>
      <rPr>
        <sz val="10"/>
        <rFont val="華康粗圓體"/>
        <family val="3"/>
        <charset val="136"/>
      </rPr>
      <t>被害及加害者兩造關係別</t>
    </r>
    <phoneticPr fontId="6" type="noConversion"/>
  </si>
  <si>
    <r>
      <rPr>
        <sz val="10"/>
        <rFont val="華康粗圓體"/>
        <family val="3"/>
        <charset val="136"/>
      </rPr>
      <t>現同住之其他家庭成員</t>
    </r>
  </si>
  <si>
    <r>
      <rPr>
        <sz val="10"/>
        <rFont val="華康粗圓體"/>
        <family val="3"/>
        <charset val="136"/>
      </rPr>
      <t>性別</t>
    </r>
    <phoneticPr fontId="6" type="noConversion"/>
  </si>
  <si>
    <r>
      <rPr>
        <sz val="10"/>
        <rFont val="華康粗圓體"/>
        <family val="3"/>
        <charset val="136"/>
      </rPr>
      <t>計</t>
    </r>
    <phoneticPr fontId="6" type="noConversion"/>
  </si>
  <si>
    <r>
      <rPr>
        <sz val="10"/>
        <rFont val="華康粗圓體"/>
        <family val="3"/>
        <charset val="136"/>
      </rPr>
      <t>四等親內
旁系血親</t>
    </r>
    <phoneticPr fontId="6" type="noConversion"/>
  </si>
  <si>
    <r>
      <rPr>
        <sz val="10"/>
        <rFont val="華康粗圓體"/>
        <family val="3"/>
        <charset val="136"/>
      </rPr>
      <t>四等親內
旁系姻親</t>
    </r>
    <phoneticPr fontId="6" type="noConversion"/>
  </si>
  <si>
    <r>
      <rPr>
        <sz val="10"/>
        <rFont val="華康粗圓體"/>
        <family val="3"/>
        <charset val="136"/>
      </rPr>
      <t>家屬間</t>
    </r>
  </si>
  <si>
    <r>
      <rPr>
        <sz val="10"/>
        <rFont val="華康粗圓體"/>
        <family val="3"/>
        <charset val="136"/>
      </rPr>
      <t>其他</t>
    </r>
  </si>
  <si>
    <r>
      <rPr>
        <sz val="10"/>
        <rFont val="華康粗圓體"/>
        <family val="3"/>
        <charset val="136"/>
      </rPr>
      <t>男</t>
    </r>
    <phoneticPr fontId="6" type="noConversion"/>
  </si>
  <si>
    <r>
      <rPr>
        <sz val="10"/>
        <rFont val="華康粗圓體"/>
        <family val="3"/>
        <charset val="136"/>
      </rPr>
      <t>女</t>
    </r>
    <phoneticPr fontId="6" type="noConversion"/>
  </si>
  <si>
    <r>
      <rPr>
        <sz val="10"/>
        <rFont val="華康粗圓體"/>
        <family val="3"/>
        <charset val="136"/>
      </rPr>
      <t>不詳</t>
    </r>
    <phoneticPr fontId="6" type="noConversion"/>
  </si>
  <si>
    <r>
      <rPr>
        <sz val="10"/>
        <rFont val="華康粗圓體"/>
        <family val="3"/>
        <charset val="136"/>
      </rPr>
      <t>民國</t>
    </r>
    <r>
      <rPr>
        <sz val="10"/>
        <rFont val="Arial Narrow"/>
        <family val="2"/>
      </rPr>
      <t>98</t>
    </r>
    <r>
      <rPr>
        <sz val="10"/>
        <rFont val="華康粗圓體"/>
        <family val="3"/>
        <charset val="136"/>
      </rPr>
      <t xml:space="preserve">年
</t>
    </r>
    <r>
      <rPr>
        <sz val="10"/>
        <rFont val="Arial Narrow"/>
        <family val="2"/>
      </rPr>
      <t>2009</t>
    </r>
    <phoneticPr fontId="6" type="noConversion"/>
  </si>
  <si>
    <r>
      <rPr>
        <sz val="10"/>
        <rFont val="華康粗圓體"/>
        <family val="3"/>
        <charset val="136"/>
      </rPr>
      <t>民國</t>
    </r>
    <r>
      <rPr>
        <sz val="10"/>
        <rFont val="Arial Narrow"/>
        <family val="2"/>
      </rPr>
      <t>99</t>
    </r>
    <r>
      <rPr>
        <sz val="10"/>
        <rFont val="華康粗圓體"/>
        <family val="3"/>
        <charset val="136"/>
      </rPr>
      <t xml:space="preserve">年
</t>
    </r>
    <r>
      <rPr>
        <sz val="10"/>
        <rFont val="Arial Narrow"/>
        <family val="2"/>
      </rPr>
      <t>2010</t>
    </r>
    <phoneticPr fontId="6" type="noConversion"/>
  </si>
  <si>
    <r>
      <rPr>
        <sz val="10"/>
        <rFont val="華康粗圓體"/>
        <family val="3"/>
        <charset val="136"/>
      </rPr>
      <t>民國</t>
    </r>
    <r>
      <rPr>
        <sz val="10"/>
        <rFont val="Arial Narrow"/>
        <family val="2"/>
      </rPr>
      <t>100</t>
    </r>
    <r>
      <rPr>
        <sz val="10"/>
        <rFont val="華康粗圓體"/>
        <family val="3"/>
        <charset val="136"/>
      </rPr>
      <t xml:space="preserve">年
</t>
    </r>
    <r>
      <rPr>
        <sz val="10"/>
        <rFont val="Arial Narrow"/>
        <family val="2"/>
      </rPr>
      <t>2011</t>
    </r>
    <phoneticPr fontId="6" type="noConversion"/>
  </si>
  <si>
    <r>
      <rPr>
        <sz val="10"/>
        <rFont val="華康粗圓體"/>
        <family val="3"/>
        <charset val="136"/>
      </rPr>
      <t>民國</t>
    </r>
    <r>
      <rPr>
        <sz val="10"/>
        <rFont val="Arial Narrow"/>
        <family val="2"/>
      </rPr>
      <t>101</t>
    </r>
    <r>
      <rPr>
        <sz val="10"/>
        <rFont val="華康粗圓體"/>
        <family val="3"/>
        <charset val="136"/>
      </rPr>
      <t xml:space="preserve">年
</t>
    </r>
    <r>
      <rPr>
        <sz val="10"/>
        <rFont val="Arial Narrow"/>
        <family val="2"/>
      </rPr>
      <t>2012</t>
    </r>
    <phoneticPr fontId="6" type="noConversion"/>
  </si>
  <si>
    <r>
      <rPr>
        <sz val="10"/>
        <rFont val="華康粗圓體"/>
        <family val="3"/>
        <charset val="136"/>
      </rPr>
      <t>民國</t>
    </r>
    <r>
      <rPr>
        <sz val="10"/>
        <rFont val="Arial Narrow"/>
        <family val="2"/>
      </rPr>
      <t>102</t>
    </r>
    <r>
      <rPr>
        <sz val="10"/>
        <rFont val="華康粗圓體"/>
        <family val="3"/>
        <charset val="136"/>
      </rPr>
      <t xml:space="preserve">年
</t>
    </r>
    <r>
      <rPr>
        <sz val="10"/>
        <rFont val="Arial Narrow"/>
        <family val="2"/>
      </rPr>
      <t>2013</t>
    </r>
    <phoneticPr fontId="6" type="noConversion"/>
  </si>
  <si>
    <r>
      <rPr>
        <sz val="10"/>
        <rFont val="華康粗圓體"/>
        <family val="3"/>
        <charset val="136"/>
      </rPr>
      <t>民國</t>
    </r>
    <r>
      <rPr>
        <sz val="10"/>
        <rFont val="Arial Narrow"/>
        <family val="2"/>
      </rPr>
      <t>103</t>
    </r>
    <r>
      <rPr>
        <sz val="10"/>
        <rFont val="華康粗圓體"/>
        <family val="3"/>
        <charset val="136"/>
      </rPr>
      <t xml:space="preserve">年
</t>
    </r>
    <r>
      <rPr>
        <sz val="10"/>
        <rFont val="Arial Narrow"/>
        <family val="2"/>
      </rPr>
      <t>2014</t>
    </r>
    <phoneticPr fontId="6" type="noConversion"/>
  </si>
  <si>
    <r>
      <rPr>
        <sz val="10"/>
        <rFont val="華康粗圓體"/>
        <family val="3"/>
        <charset val="136"/>
      </rPr>
      <t>民國</t>
    </r>
    <r>
      <rPr>
        <sz val="10"/>
        <rFont val="Arial Narrow"/>
        <family val="2"/>
      </rPr>
      <t>104</t>
    </r>
    <r>
      <rPr>
        <sz val="10"/>
        <rFont val="華康粗圓體"/>
        <family val="3"/>
        <charset val="136"/>
      </rPr>
      <t xml:space="preserve">年
</t>
    </r>
    <r>
      <rPr>
        <sz val="10"/>
        <rFont val="Arial Narrow"/>
        <family val="2"/>
      </rPr>
      <t>2015</t>
    </r>
    <phoneticPr fontId="6" type="noConversion"/>
  </si>
  <si>
    <r>
      <rPr>
        <sz val="10"/>
        <rFont val="華康粗圓體"/>
        <family val="3"/>
        <charset val="136"/>
      </rPr>
      <t>案件類型別</t>
    </r>
  </si>
  <si>
    <r>
      <rPr>
        <sz val="10"/>
        <rFont val="華康粗圓體"/>
        <family val="3"/>
        <charset val="136"/>
      </rPr>
      <t>合計</t>
    </r>
  </si>
  <si>
    <r>
      <rPr>
        <sz val="10"/>
        <rFont val="華康粗圓體"/>
        <family val="3"/>
        <charset val="136"/>
      </rPr>
      <t>婚姻、離
婚或同居
關係暴力</t>
    </r>
    <phoneticPr fontId="6" type="noConversion"/>
  </si>
  <si>
    <r>
      <rPr>
        <sz val="10"/>
        <rFont val="華康粗圓體"/>
        <family val="3"/>
        <charset val="136"/>
      </rPr>
      <t>兒少
保護</t>
    </r>
  </si>
  <si>
    <r>
      <rPr>
        <sz val="10"/>
        <rFont val="華康粗圓體"/>
        <family val="3"/>
        <charset val="136"/>
      </rPr>
      <t>老人
虐待</t>
    </r>
  </si>
  <si>
    <r>
      <rPr>
        <sz val="10"/>
        <rFont val="華康粗圓體"/>
        <family val="3"/>
        <charset val="136"/>
      </rPr>
      <t>配偶</t>
    </r>
  </si>
  <si>
    <r>
      <rPr>
        <sz val="10"/>
        <rFont val="華康粗圓體"/>
        <family val="3"/>
        <charset val="136"/>
      </rPr>
      <t xml:space="preserve">前配偶
</t>
    </r>
    <r>
      <rPr>
        <sz val="10"/>
        <rFont val="Arial Narrow"/>
        <family val="2"/>
      </rPr>
      <t>(</t>
    </r>
    <r>
      <rPr>
        <sz val="10"/>
        <rFont val="華康粗圓體"/>
        <family val="3"/>
        <charset val="136"/>
      </rPr>
      <t>離婚</t>
    </r>
    <r>
      <rPr>
        <sz val="10"/>
        <rFont val="Arial Narrow"/>
        <family val="2"/>
      </rPr>
      <t>)</t>
    </r>
  </si>
  <si>
    <r>
      <rPr>
        <sz val="10"/>
        <rFont val="華康粗圓體"/>
        <family val="3"/>
        <charset val="136"/>
      </rPr>
      <t>曾同住之其他家庭成員</t>
    </r>
  </si>
  <si>
    <r>
      <rPr>
        <sz val="10"/>
        <rFont val="華康粗圓體"/>
        <family val="3"/>
        <charset val="136"/>
      </rPr>
      <t>共同
生活</t>
    </r>
  </si>
  <si>
    <r>
      <rPr>
        <sz val="10"/>
        <rFont val="華康粗圓體"/>
        <family val="3"/>
        <charset val="136"/>
      </rPr>
      <t>分居</t>
    </r>
  </si>
  <si>
    <r>
      <rPr>
        <sz val="10"/>
        <rFont val="華康粗圓體"/>
        <family val="3"/>
        <charset val="136"/>
      </rPr>
      <t>直系
血親</t>
    </r>
  </si>
  <si>
    <r>
      <rPr>
        <sz val="10"/>
        <rFont val="華康粗圓體"/>
        <family val="3"/>
        <charset val="136"/>
      </rPr>
      <t>直系
姻親</t>
    </r>
  </si>
  <si>
    <r>
      <rPr>
        <sz val="10"/>
        <rFont val="華康粗圓體"/>
        <family val="3"/>
        <charset val="136"/>
      </rPr>
      <t>同居
關係</t>
    </r>
  </si>
  <si>
    <r>
      <rPr>
        <sz val="10"/>
        <rFont val="華康粗圓體"/>
        <family val="3"/>
        <charset val="136"/>
      </rPr>
      <t>家長
家屬</t>
    </r>
  </si>
  <si>
    <r>
      <rPr>
        <sz val="10"/>
        <rFont val="華康粗圓體"/>
        <family val="3"/>
        <charset val="136"/>
      </rPr>
      <t xml:space="preserve">通報件數
</t>
    </r>
    <r>
      <rPr>
        <sz val="10"/>
        <rFont val="Arial Narrow"/>
        <family val="2"/>
      </rPr>
      <t>(</t>
    </r>
    <r>
      <rPr>
        <sz val="10"/>
        <rFont val="華康粗圓體"/>
        <family val="3"/>
        <charset val="136"/>
      </rPr>
      <t>件</t>
    </r>
    <r>
      <rPr>
        <sz val="10"/>
        <rFont val="Arial Narrow"/>
        <family val="2"/>
      </rPr>
      <t>)</t>
    </r>
    <phoneticPr fontId="6" type="noConversion"/>
  </si>
  <si>
    <r>
      <rPr>
        <sz val="10"/>
        <rFont val="華康粗圓體"/>
        <family val="3"/>
        <charset val="136"/>
      </rPr>
      <t>年齡</t>
    </r>
    <phoneticPr fontId="6" type="noConversion"/>
  </si>
  <si>
    <r>
      <t>0-5</t>
    </r>
    <r>
      <rPr>
        <sz val="10"/>
        <rFont val="華康粗圓體"/>
        <family val="3"/>
        <charset val="136"/>
      </rPr>
      <t>歲</t>
    </r>
    <phoneticPr fontId="6" type="noConversion"/>
  </si>
  <si>
    <r>
      <t>6-11</t>
    </r>
    <r>
      <rPr>
        <sz val="10"/>
        <rFont val="華康粗圓體"/>
        <family val="3"/>
        <charset val="136"/>
      </rPr>
      <t>歲</t>
    </r>
    <phoneticPr fontId="6" type="noConversion"/>
  </si>
  <si>
    <r>
      <t>12-17</t>
    </r>
    <r>
      <rPr>
        <sz val="10"/>
        <rFont val="華康粗圓體"/>
        <family val="3"/>
        <charset val="136"/>
      </rPr>
      <t>歲</t>
    </r>
    <phoneticPr fontId="6" type="noConversion"/>
  </si>
  <si>
    <r>
      <t>18-23</t>
    </r>
    <r>
      <rPr>
        <sz val="10"/>
        <rFont val="華康粗圓體"/>
        <family val="3"/>
        <charset val="136"/>
      </rPr>
      <t>歲</t>
    </r>
    <phoneticPr fontId="6" type="noConversion"/>
  </si>
  <si>
    <r>
      <t>24-29</t>
    </r>
    <r>
      <rPr>
        <sz val="10"/>
        <rFont val="華康粗圓體"/>
        <family val="3"/>
        <charset val="136"/>
      </rPr>
      <t>歲</t>
    </r>
    <phoneticPr fontId="6" type="noConversion"/>
  </si>
  <si>
    <r>
      <t>30-39</t>
    </r>
    <r>
      <rPr>
        <sz val="10"/>
        <rFont val="華康粗圓體"/>
        <family val="3"/>
        <charset val="136"/>
      </rPr>
      <t>歲</t>
    </r>
    <phoneticPr fontId="6" type="noConversion"/>
  </si>
  <si>
    <r>
      <t>40-49</t>
    </r>
    <r>
      <rPr>
        <sz val="10"/>
        <rFont val="華康粗圓體"/>
        <family val="3"/>
        <charset val="136"/>
      </rPr>
      <t>歲</t>
    </r>
    <phoneticPr fontId="6" type="noConversion"/>
  </si>
  <si>
    <r>
      <t>50-64</t>
    </r>
    <r>
      <rPr>
        <sz val="10"/>
        <rFont val="華康粗圓體"/>
        <family val="3"/>
        <charset val="136"/>
      </rPr>
      <t>歲</t>
    </r>
    <phoneticPr fontId="6" type="noConversion"/>
  </si>
  <si>
    <r>
      <t>65</t>
    </r>
    <r>
      <rPr>
        <sz val="10"/>
        <rFont val="華康粗圓體"/>
        <family val="3"/>
        <charset val="136"/>
      </rPr>
      <t>歲及以上</t>
    </r>
    <phoneticPr fontId="6" type="noConversion"/>
  </si>
  <si>
    <r>
      <rPr>
        <sz val="10"/>
        <rFont val="華康粗圓體"/>
        <family val="3"/>
        <charset val="136"/>
      </rPr>
      <t>不詳</t>
    </r>
  </si>
  <si>
    <r>
      <rPr>
        <sz val="10"/>
        <rFont val="華康粗圓體"/>
        <family val="3"/>
        <charset val="136"/>
      </rPr>
      <t>民國</t>
    </r>
    <r>
      <rPr>
        <sz val="10"/>
        <rFont val="Arial Narrow"/>
        <family val="2"/>
      </rPr>
      <t>99</t>
    </r>
    <r>
      <rPr>
        <sz val="10"/>
        <rFont val="華康粗圓體"/>
        <family val="3"/>
        <charset val="136"/>
      </rPr>
      <t xml:space="preserve">年
</t>
    </r>
    <r>
      <rPr>
        <sz val="10"/>
        <rFont val="Arial Narrow"/>
        <family val="2"/>
      </rPr>
      <t>2010</t>
    </r>
    <phoneticPr fontId="4" type="noConversion"/>
  </si>
  <si>
    <r>
      <rPr>
        <sz val="10"/>
        <color indexed="8"/>
        <rFont val="華康粗圓體"/>
        <family val="3"/>
        <charset val="136"/>
      </rPr>
      <t>民國</t>
    </r>
    <r>
      <rPr>
        <sz val="10"/>
        <color indexed="8"/>
        <rFont val="Arial Narrow"/>
        <family val="2"/>
      </rPr>
      <t>100</t>
    </r>
    <r>
      <rPr>
        <sz val="10"/>
        <color indexed="8"/>
        <rFont val="華康粗圓體"/>
        <family val="3"/>
        <charset val="136"/>
      </rPr>
      <t xml:space="preserve">年
</t>
    </r>
    <r>
      <rPr>
        <sz val="10"/>
        <color indexed="8"/>
        <rFont val="Arial Narrow"/>
        <family val="2"/>
      </rPr>
      <t>2011</t>
    </r>
    <phoneticPr fontId="4" type="noConversion"/>
  </si>
  <si>
    <r>
      <rPr>
        <sz val="10"/>
        <color indexed="8"/>
        <rFont val="華康粗圓體"/>
        <family val="3"/>
        <charset val="136"/>
      </rPr>
      <t>民國</t>
    </r>
    <r>
      <rPr>
        <sz val="10"/>
        <color indexed="8"/>
        <rFont val="Arial Narrow"/>
        <family val="2"/>
      </rPr>
      <t>101</t>
    </r>
    <r>
      <rPr>
        <sz val="10"/>
        <color indexed="8"/>
        <rFont val="華康粗圓體"/>
        <family val="3"/>
        <charset val="136"/>
      </rPr>
      <t xml:space="preserve">年
</t>
    </r>
    <r>
      <rPr>
        <sz val="10"/>
        <color indexed="8"/>
        <rFont val="Arial Narrow"/>
        <family val="2"/>
      </rPr>
      <t>2012</t>
    </r>
    <phoneticPr fontId="4" type="noConversion"/>
  </si>
  <si>
    <r>
      <rPr>
        <sz val="10"/>
        <color indexed="8"/>
        <rFont val="華康粗圓體"/>
        <family val="3"/>
        <charset val="136"/>
      </rPr>
      <t>民國</t>
    </r>
    <r>
      <rPr>
        <sz val="10"/>
        <color indexed="8"/>
        <rFont val="Arial Narrow"/>
        <family val="2"/>
      </rPr>
      <t>102</t>
    </r>
    <r>
      <rPr>
        <sz val="10"/>
        <color indexed="8"/>
        <rFont val="華康粗圓體"/>
        <family val="3"/>
        <charset val="136"/>
      </rPr>
      <t xml:space="preserve">年
</t>
    </r>
    <r>
      <rPr>
        <sz val="10"/>
        <color indexed="8"/>
        <rFont val="Arial Narrow"/>
        <family val="2"/>
      </rPr>
      <t>2013</t>
    </r>
    <phoneticPr fontId="4" type="noConversion"/>
  </si>
  <si>
    <r>
      <rPr>
        <sz val="10"/>
        <color indexed="8"/>
        <rFont val="華康粗圓體"/>
        <family val="3"/>
        <charset val="136"/>
      </rPr>
      <t>民國</t>
    </r>
    <r>
      <rPr>
        <sz val="10"/>
        <color indexed="8"/>
        <rFont val="Arial Narrow"/>
        <family val="2"/>
      </rPr>
      <t>103</t>
    </r>
    <r>
      <rPr>
        <sz val="10"/>
        <color indexed="8"/>
        <rFont val="華康粗圓體"/>
        <family val="3"/>
        <charset val="136"/>
      </rPr>
      <t xml:space="preserve">年
</t>
    </r>
    <r>
      <rPr>
        <sz val="10"/>
        <color indexed="8"/>
        <rFont val="Arial Narrow"/>
        <family val="2"/>
      </rPr>
      <t>2014</t>
    </r>
    <phoneticPr fontId="4" type="noConversion"/>
  </si>
  <si>
    <r>
      <rPr>
        <sz val="10"/>
        <rFont val="華康粗圓體"/>
        <family val="3"/>
        <charset val="136"/>
      </rPr>
      <t>民國</t>
    </r>
    <r>
      <rPr>
        <sz val="10"/>
        <rFont val="Arial Narrow"/>
        <family val="2"/>
      </rPr>
      <t>104</t>
    </r>
    <r>
      <rPr>
        <sz val="10"/>
        <rFont val="華康粗圓體"/>
        <family val="3"/>
        <charset val="136"/>
      </rPr>
      <t xml:space="preserve">年
</t>
    </r>
    <r>
      <rPr>
        <sz val="10"/>
        <rFont val="Arial Narrow"/>
        <family val="2"/>
      </rPr>
      <t>2015</t>
    </r>
    <phoneticPr fontId="4" type="noConversion"/>
  </si>
  <si>
    <r>
      <rPr>
        <sz val="10"/>
        <rFont val="華康粗圓體"/>
        <family val="3"/>
        <charset val="136"/>
      </rPr>
      <t xml:space="preserve">年底別
</t>
    </r>
    <r>
      <rPr>
        <sz val="10"/>
        <rFont val="Arial Narrow"/>
        <family val="2"/>
      </rPr>
      <t>End of Year</t>
    </r>
    <phoneticPr fontId="4" type="noConversion"/>
  </si>
  <si>
    <r>
      <rPr>
        <sz val="10"/>
        <rFont val="華康粗圓體"/>
        <family val="3"/>
        <charset val="136"/>
      </rPr>
      <t>民國</t>
    </r>
    <r>
      <rPr>
        <sz val="10"/>
        <rFont val="Arial Narrow"/>
        <family val="2"/>
      </rPr>
      <t>98</t>
    </r>
    <r>
      <rPr>
        <sz val="10"/>
        <rFont val="華康粗圓體"/>
        <family val="3"/>
        <charset val="136"/>
      </rPr>
      <t>年底</t>
    </r>
    <r>
      <rPr>
        <sz val="10"/>
        <rFont val="Arial Narrow"/>
        <family val="2"/>
      </rPr>
      <t xml:space="preserve"> End of 2009</t>
    </r>
    <phoneticPr fontId="6" type="noConversion"/>
  </si>
  <si>
    <r>
      <rPr>
        <sz val="10"/>
        <rFont val="華康粗圓體"/>
        <family val="3"/>
        <charset val="136"/>
      </rPr>
      <t>民國</t>
    </r>
    <r>
      <rPr>
        <sz val="10"/>
        <rFont val="Arial Narrow"/>
        <family val="2"/>
      </rPr>
      <t>99</t>
    </r>
    <r>
      <rPr>
        <sz val="10"/>
        <rFont val="華康粗圓體"/>
        <family val="3"/>
        <charset val="136"/>
      </rPr>
      <t>年底</t>
    </r>
    <r>
      <rPr>
        <sz val="10"/>
        <rFont val="Arial Narrow"/>
        <family val="2"/>
      </rPr>
      <t xml:space="preserve"> End of 2010</t>
    </r>
    <phoneticPr fontId="4" type="noConversion"/>
  </si>
  <si>
    <r>
      <rPr>
        <sz val="10"/>
        <rFont val="華康粗圓體"/>
        <family val="3"/>
        <charset val="136"/>
      </rPr>
      <t>民國</t>
    </r>
    <r>
      <rPr>
        <sz val="10"/>
        <rFont val="Arial Narrow"/>
        <family val="2"/>
      </rPr>
      <t>100</t>
    </r>
    <r>
      <rPr>
        <sz val="10"/>
        <rFont val="華康粗圓體"/>
        <family val="3"/>
        <charset val="136"/>
      </rPr>
      <t>年底</t>
    </r>
    <r>
      <rPr>
        <sz val="10"/>
        <rFont val="Arial Narrow"/>
        <family val="2"/>
      </rPr>
      <t xml:space="preserve"> End of 2011</t>
    </r>
    <phoneticPr fontId="4" type="noConversion"/>
  </si>
  <si>
    <r>
      <rPr>
        <sz val="10"/>
        <rFont val="華康粗圓體"/>
        <family val="3"/>
        <charset val="136"/>
      </rPr>
      <t>民國</t>
    </r>
    <r>
      <rPr>
        <sz val="10"/>
        <rFont val="Arial Narrow"/>
        <family val="2"/>
      </rPr>
      <t>101</t>
    </r>
    <r>
      <rPr>
        <sz val="10"/>
        <rFont val="華康粗圓體"/>
        <family val="3"/>
        <charset val="136"/>
      </rPr>
      <t>年底</t>
    </r>
    <r>
      <rPr>
        <sz val="10"/>
        <rFont val="Arial Narrow"/>
        <family val="2"/>
      </rPr>
      <t xml:space="preserve"> End of 2012</t>
    </r>
    <phoneticPr fontId="4" type="noConversion"/>
  </si>
  <si>
    <r>
      <rPr>
        <sz val="10"/>
        <rFont val="華康粗圓體"/>
        <family val="3"/>
        <charset val="136"/>
      </rPr>
      <t>民國</t>
    </r>
    <r>
      <rPr>
        <sz val="10"/>
        <rFont val="Arial Narrow"/>
        <family val="2"/>
      </rPr>
      <t>102</t>
    </r>
    <r>
      <rPr>
        <sz val="10"/>
        <rFont val="華康粗圓體"/>
        <family val="3"/>
        <charset val="136"/>
      </rPr>
      <t>年底</t>
    </r>
    <r>
      <rPr>
        <sz val="10"/>
        <rFont val="Arial Narrow"/>
        <family val="2"/>
      </rPr>
      <t xml:space="preserve"> End of 2013</t>
    </r>
    <phoneticPr fontId="4" type="noConversion"/>
  </si>
  <si>
    <r>
      <rPr>
        <sz val="10"/>
        <rFont val="華康粗圓體"/>
        <family val="3"/>
        <charset val="136"/>
      </rPr>
      <t>民國</t>
    </r>
    <r>
      <rPr>
        <sz val="10"/>
        <rFont val="Arial Narrow"/>
        <family val="2"/>
      </rPr>
      <t>103</t>
    </r>
    <r>
      <rPr>
        <sz val="10"/>
        <rFont val="華康粗圓體"/>
        <family val="3"/>
        <charset val="136"/>
      </rPr>
      <t>年底</t>
    </r>
    <r>
      <rPr>
        <sz val="10"/>
        <rFont val="Arial Narrow"/>
        <family val="2"/>
      </rPr>
      <t xml:space="preserve"> End of 2014</t>
    </r>
    <phoneticPr fontId="4" type="noConversion"/>
  </si>
  <si>
    <r>
      <rPr>
        <sz val="10"/>
        <rFont val="華康粗圓體"/>
        <family val="3"/>
        <charset val="136"/>
      </rPr>
      <t>民國</t>
    </r>
    <r>
      <rPr>
        <sz val="10"/>
        <rFont val="Arial Narrow"/>
        <family val="2"/>
      </rPr>
      <t>104</t>
    </r>
    <r>
      <rPr>
        <sz val="10"/>
        <rFont val="華康粗圓體"/>
        <family val="3"/>
        <charset val="136"/>
      </rPr>
      <t>年底</t>
    </r>
    <r>
      <rPr>
        <sz val="10"/>
        <rFont val="Arial Narrow"/>
        <family val="2"/>
      </rPr>
      <t xml:space="preserve"> End of 2015</t>
    </r>
    <phoneticPr fontId="4" type="noConversion"/>
  </si>
  <si>
    <r>
      <t xml:space="preserve">    </t>
    </r>
    <r>
      <rPr>
        <sz val="10"/>
        <rFont val="華康粗圓體"/>
        <family val="3"/>
        <charset val="136"/>
      </rPr>
      <t>公部門</t>
    </r>
    <r>
      <rPr>
        <sz val="10"/>
        <rFont val="Arial Narrow"/>
        <family val="2"/>
      </rPr>
      <t xml:space="preserve">    </t>
    </r>
    <phoneticPr fontId="4" type="noConversion"/>
  </si>
  <si>
    <r>
      <t xml:space="preserve">         </t>
    </r>
    <r>
      <rPr>
        <sz val="10"/>
        <rFont val="華康粗圓體"/>
        <family val="3"/>
        <charset val="136"/>
      </rPr>
      <t>桃園市政府社會局</t>
    </r>
    <phoneticPr fontId="4" type="noConversion"/>
  </si>
  <si>
    <r>
      <t xml:space="preserve">         </t>
    </r>
    <r>
      <rPr>
        <sz val="10"/>
        <rFont val="華康粗圓體"/>
        <family val="3"/>
        <charset val="136"/>
      </rPr>
      <t>各區公所</t>
    </r>
    <phoneticPr fontId="4" type="noConversion"/>
  </si>
  <si>
    <r>
      <t xml:space="preserve">     </t>
    </r>
    <r>
      <rPr>
        <sz val="10"/>
        <rFont val="華康粗圓體"/>
        <family val="3"/>
        <charset val="136"/>
      </rPr>
      <t>公設民營機構</t>
    </r>
    <phoneticPr fontId="4" type="noConversion"/>
  </si>
  <si>
    <r>
      <t xml:space="preserve">     </t>
    </r>
    <r>
      <rPr>
        <sz val="10"/>
        <rFont val="華康粗圓體"/>
        <family val="3"/>
        <charset val="136"/>
      </rPr>
      <t>公部門</t>
    </r>
    <r>
      <rPr>
        <sz val="10"/>
        <rFont val="Arial Narrow"/>
        <family val="2"/>
      </rPr>
      <t xml:space="preserve">  </t>
    </r>
    <phoneticPr fontId="4" type="noConversion"/>
  </si>
  <si>
    <r>
      <rPr>
        <sz val="10"/>
        <rFont val="華康粗圓體"/>
        <family val="3"/>
        <charset val="136"/>
      </rPr>
      <t>總計</t>
    </r>
    <phoneticPr fontId="6" type="noConversion"/>
  </si>
  <si>
    <r>
      <rPr>
        <sz val="10"/>
        <rFont val="華康粗圓體"/>
        <family val="3"/>
        <charset val="136"/>
      </rPr>
      <t>緊急生活扶助</t>
    </r>
    <phoneticPr fontId="6" type="noConversion"/>
  </si>
  <si>
    <r>
      <rPr>
        <sz val="10"/>
        <rFont val="華康粗圓體"/>
        <family val="3"/>
        <charset val="136"/>
      </rPr>
      <t>傷病醫療補助</t>
    </r>
    <phoneticPr fontId="6" type="noConversion"/>
  </si>
  <si>
    <r>
      <rPr>
        <sz val="10"/>
        <rFont val="華康粗圓體"/>
        <family val="3"/>
        <charset val="136"/>
      </rPr>
      <t>法律訴訟補助</t>
    </r>
    <phoneticPr fontId="6" type="noConversion"/>
  </si>
  <si>
    <r>
      <rPr>
        <sz val="10"/>
        <rFont val="華康粗圓體"/>
        <family val="3"/>
        <charset val="136"/>
      </rPr>
      <t>子女生活津貼</t>
    </r>
    <phoneticPr fontId="6" type="noConversion"/>
  </si>
  <si>
    <r>
      <rPr>
        <sz val="10"/>
        <rFont val="華康粗圓體"/>
        <family val="3"/>
        <charset val="136"/>
      </rPr>
      <t>兒童托育津貼</t>
    </r>
    <phoneticPr fontId="6" type="noConversion"/>
  </si>
  <si>
    <r>
      <rPr>
        <sz val="10"/>
        <rFont val="華康粗圓體"/>
        <family val="3"/>
        <charset val="136"/>
      </rPr>
      <t>人次</t>
    </r>
    <phoneticPr fontId="6" type="noConversion"/>
  </si>
  <si>
    <r>
      <rPr>
        <sz val="10"/>
        <rFont val="華康粗圓體"/>
        <family val="3"/>
        <charset val="136"/>
      </rPr>
      <t>金額</t>
    </r>
    <phoneticPr fontId="6" type="noConversion"/>
  </si>
  <si>
    <r>
      <rPr>
        <sz val="10"/>
        <rFont val="華康粗圓體"/>
        <family val="3"/>
        <charset val="136"/>
      </rPr>
      <t>人次</t>
    </r>
  </si>
  <si>
    <r>
      <rPr>
        <sz val="10"/>
        <rFont val="華康粗圓體"/>
        <family val="3"/>
        <charset val="136"/>
      </rPr>
      <t>金額</t>
    </r>
  </si>
  <si>
    <r>
      <rPr>
        <sz val="10"/>
        <rFont val="華康粗圓體"/>
        <family val="3"/>
        <charset val="136"/>
      </rPr>
      <t>民國</t>
    </r>
    <r>
      <rPr>
        <sz val="10"/>
        <rFont val="Arial Narrow"/>
        <family val="2"/>
      </rPr>
      <t>98</t>
    </r>
    <r>
      <rPr>
        <sz val="10"/>
        <rFont val="華康粗圓體"/>
        <family val="3"/>
        <charset val="136"/>
      </rPr>
      <t>年</t>
    </r>
    <r>
      <rPr>
        <sz val="10"/>
        <rFont val="Arial Narrow"/>
        <family val="2"/>
      </rPr>
      <t xml:space="preserve"> 2009</t>
    </r>
    <phoneticPr fontId="6" type="noConversion"/>
  </si>
  <si>
    <r>
      <rPr>
        <sz val="10"/>
        <rFont val="華康粗圓體"/>
        <family val="3"/>
        <charset val="136"/>
      </rPr>
      <t>民國</t>
    </r>
    <r>
      <rPr>
        <sz val="10"/>
        <rFont val="Arial Narrow"/>
        <family val="2"/>
      </rPr>
      <t>99</t>
    </r>
    <r>
      <rPr>
        <sz val="10"/>
        <rFont val="華康粗圓體"/>
        <family val="3"/>
        <charset val="136"/>
      </rPr>
      <t>年</t>
    </r>
    <r>
      <rPr>
        <sz val="10"/>
        <rFont val="Arial Narrow"/>
        <family val="2"/>
      </rPr>
      <t xml:space="preserve"> 2010</t>
    </r>
    <phoneticPr fontId="6" type="noConversion"/>
  </si>
  <si>
    <r>
      <rPr>
        <sz val="10"/>
        <rFont val="華康粗圓體"/>
        <family val="3"/>
        <charset val="136"/>
      </rPr>
      <t>民國</t>
    </r>
    <r>
      <rPr>
        <sz val="10"/>
        <rFont val="Arial Narrow"/>
        <family val="2"/>
      </rPr>
      <t>100</t>
    </r>
    <r>
      <rPr>
        <sz val="10"/>
        <rFont val="華康粗圓體"/>
        <family val="3"/>
        <charset val="136"/>
      </rPr>
      <t>年</t>
    </r>
    <r>
      <rPr>
        <sz val="10"/>
        <rFont val="Arial Narrow"/>
        <family val="2"/>
      </rPr>
      <t xml:space="preserve"> 2011</t>
    </r>
    <phoneticPr fontId="6" type="noConversion"/>
  </si>
  <si>
    <r>
      <rPr>
        <sz val="10"/>
        <rFont val="華康粗圓體"/>
        <family val="3"/>
        <charset val="136"/>
      </rPr>
      <t>民國</t>
    </r>
    <r>
      <rPr>
        <sz val="10"/>
        <rFont val="Arial Narrow"/>
        <family val="2"/>
      </rPr>
      <t>101</t>
    </r>
    <r>
      <rPr>
        <sz val="10"/>
        <rFont val="華康粗圓體"/>
        <family val="3"/>
        <charset val="136"/>
      </rPr>
      <t>年</t>
    </r>
    <r>
      <rPr>
        <sz val="10"/>
        <rFont val="Arial Narrow"/>
        <family val="2"/>
      </rPr>
      <t xml:space="preserve"> 2012</t>
    </r>
    <phoneticPr fontId="6" type="noConversion"/>
  </si>
  <si>
    <r>
      <rPr>
        <sz val="10"/>
        <rFont val="華康粗圓體"/>
        <family val="3"/>
        <charset val="136"/>
      </rPr>
      <t>民國</t>
    </r>
    <r>
      <rPr>
        <sz val="10"/>
        <rFont val="Arial Narrow"/>
        <family val="2"/>
      </rPr>
      <t>102</t>
    </r>
    <r>
      <rPr>
        <sz val="10"/>
        <rFont val="華康粗圓體"/>
        <family val="3"/>
        <charset val="136"/>
      </rPr>
      <t>年</t>
    </r>
    <r>
      <rPr>
        <sz val="10"/>
        <rFont val="Arial Narrow"/>
        <family val="2"/>
      </rPr>
      <t xml:space="preserve"> 2013</t>
    </r>
    <phoneticPr fontId="6" type="noConversion"/>
  </si>
  <si>
    <r>
      <rPr>
        <sz val="10"/>
        <rFont val="華康粗圓體"/>
        <family val="3"/>
        <charset val="136"/>
      </rPr>
      <t>民國</t>
    </r>
    <r>
      <rPr>
        <sz val="10"/>
        <rFont val="Arial Narrow"/>
        <family val="2"/>
      </rPr>
      <t>103</t>
    </r>
    <r>
      <rPr>
        <sz val="10"/>
        <rFont val="華康粗圓體"/>
        <family val="3"/>
        <charset val="136"/>
      </rPr>
      <t>年</t>
    </r>
    <r>
      <rPr>
        <sz val="10"/>
        <rFont val="Arial Narrow"/>
        <family val="2"/>
      </rPr>
      <t xml:space="preserve"> 2014</t>
    </r>
    <phoneticPr fontId="6" type="noConversion"/>
  </si>
  <si>
    <r>
      <rPr>
        <sz val="10"/>
        <rFont val="華康粗圓體"/>
        <family val="3"/>
        <charset val="136"/>
      </rPr>
      <t>民國</t>
    </r>
    <r>
      <rPr>
        <sz val="10"/>
        <rFont val="Arial Narrow"/>
        <family val="2"/>
      </rPr>
      <t>104</t>
    </r>
    <r>
      <rPr>
        <sz val="10"/>
        <rFont val="華康粗圓體"/>
        <family val="3"/>
        <charset val="136"/>
      </rPr>
      <t>年</t>
    </r>
    <r>
      <rPr>
        <sz val="10"/>
        <rFont val="Arial Narrow"/>
        <family val="2"/>
      </rPr>
      <t xml:space="preserve"> 2015</t>
    </r>
    <phoneticPr fontId="6" type="noConversion"/>
  </si>
  <si>
    <r>
      <rPr>
        <sz val="10"/>
        <rFont val="華康粗圓體"/>
        <family val="3"/>
        <charset val="136"/>
      </rPr>
      <t>其他</t>
    </r>
    <phoneticPr fontId="4" type="noConversion"/>
  </si>
  <si>
    <r>
      <rPr>
        <sz val="10"/>
        <rFont val="華康粗圓體"/>
        <family val="3"/>
        <charset val="136"/>
      </rPr>
      <t>年　底　別</t>
    </r>
    <phoneticPr fontId="4" type="noConversion"/>
  </si>
  <si>
    <r>
      <rPr>
        <sz val="10"/>
        <rFont val="華康粗圓體"/>
        <family val="3"/>
        <charset val="136"/>
      </rPr>
      <t>總計</t>
    </r>
    <phoneticPr fontId="4" type="noConversion"/>
  </si>
  <si>
    <r>
      <rPr>
        <sz val="10"/>
        <rFont val="華康粗圓體"/>
        <family val="3"/>
        <charset val="136"/>
      </rPr>
      <t>私立托兒所</t>
    </r>
    <phoneticPr fontId="4" type="noConversion"/>
  </si>
  <si>
    <r>
      <rPr>
        <sz val="10"/>
        <rFont val="華康粗圓體"/>
        <family val="3"/>
        <charset val="136"/>
      </rPr>
      <t>所數</t>
    </r>
    <phoneticPr fontId="4" type="noConversion"/>
  </si>
  <si>
    <r>
      <rPr>
        <sz val="10"/>
        <rFont val="華康粗圓體"/>
        <family val="3"/>
        <charset val="136"/>
      </rPr>
      <t>收托人數</t>
    </r>
    <phoneticPr fontId="4" type="noConversion"/>
  </si>
  <si>
    <r>
      <rPr>
        <sz val="10"/>
        <rFont val="華康粗圓體"/>
        <family val="3"/>
        <charset val="136"/>
      </rPr>
      <t>職工人數</t>
    </r>
    <phoneticPr fontId="4" type="noConversion"/>
  </si>
  <si>
    <r>
      <rPr>
        <sz val="10"/>
        <rFont val="華康粗圓體"/>
        <family val="3"/>
        <charset val="136"/>
      </rPr>
      <t>保育人數</t>
    </r>
    <phoneticPr fontId="4" type="noConversion"/>
  </si>
  <si>
    <r>
      <rPr>
        <sz val="10"/>
        <rFont val="華康粗圓體"/>
        <family val="3"/>
        <charset val="136"/>
      </rPr>
      <t>民國</t>
    </r>
    <r>
      <rPr>
        <sz val="10"/>
        <rFont val="Arial Narrow"/>
        <family val="2"/>
      </rPr>
      <t>99</t>
    </r>
    <r>
      <rPr>
        <sz val="10"/>
        <rFont val="華康粗圓體"/>
        <family val="3"/>
        <charset val="136"/>
      </rPr>
      <t xml:space="preserve">年底
</t>
    </r>
    <r>
      <rPr>
        <sz val="10"/>
        <rFont val="Arial Narrow"/>
        <family val="2"/>
      </rPr>
      <t>End of 2010</t>
    </r>
  </si>
  <si>
    <r>
      <rPr>
        <sz val="10"/>
        <rFont val="華康粗圓體"/>
        <family val="3"/>
        <charset val="136"/>
      </rPr>
      <t>公立托嬰中心</t>
    </r>
    <phoneticPr fontId="4" type="noConversion"/>
  </si>
  <si>
    <r>
      <rPr>
        <sz val="10"/>
        <rFont val="華康粗圓體"/>
        <family val="3"/>
        <charset val="136"/>
      </rPr>
      <t>收托
人數</t>
    </r>
    <phoneticPr fontId="4" type="noConversion"/>
  </si>
  <si>
    <r>
      <rPr>
        <sz val="10"/>
        <rFont val="華康粗圓體"/>
        <family val="3"/>
        <charset val="136"/>
      </rPr>
      <t>專業
人員數</t>
    </r>
    <phoneticPr fontId="4" type="noConversion"/>
  </si>
  <si>
    <r>
      <rPr>
        <sz val="10"/>
        <rFont val="華康粗圓體"/>
        <family val="3"/>
        <charset val="136"/>
      </rPr>
      <t>保母</t>
    </r>
    <phoneticPr fontId="6" type="noConversion"/>
  </si>
  <si>
    <r>
      <rPr>
        <sz val="10"/>
        <rFont val="華康粗圓體"/>
        <family val="3"/>
        <charset val="136"/>
      </rPr>
      <t>民國</t>
    </r>
    <r>
      <rPr>
        <sz val="10"/>
        <rFont val="Arial Narrow"/>
        <family val="2"/>
      </rPr>
      <t>104</t>
    </r>
    <r>
      <rPr>
        <sz val="10"/>
        <rFont val="華康粗圓體"/>
        <family val="3"/>
        <charset val="136"/>
      </rPr>
      <t xml:space="preserve">年底
</t>
    </r>
    <r>
      <rPr>
        <sz val="10"/>
        <rFont val="Arial Narrow"/>
        <family val="2"/>
      </rPr>
      <t>End of 2015</t>
    </r>
    <phoneticPr fontId="4" type="noConversion"/>
  </si>
  <si>
    <r>
      <rPr>
        <sz val="10"/>
        <rFont val="華康粗圓體"/>
        <family val="3"/>
        <charset val="136"/>
      </rPr>
      <t>年底家庭寄養</t>
    </r>
    <r>
      <rPr>
        <sz val="8.5"/>
        <rFont val="Arial Narrow"/>
        <family val="2"/>
      </rPr>
      <t/>
    </r>
    <phoneticPr fontId="6" type="noConversion"/>
  </si>
  <si>
    <r>
      <rPr>
        <sz val="10"/>
        <rFont val="華康粗圓體"/>
        <family val="3"/>
        <charset val="136"/>
      </rPr>
      <t>辦理育樂
活動參加
人　　次</t>
    </r>
    <phoneticPr fontId="6" type="noConversion"/>
  </si>
  <si>
    <r>
      <rPr>
        <sz val="10"/>
        <rFont val="華康粗圓體"/>
        <family val="3"/>
        <charset val="136"/>
      </rPr>
      <t>年底安置及教養機構</t>
    </r>
    <r>
      <rPr>
        <sz val="8.5"/>
        <rFont val="Arial Narrow"/>
        <family val="2"/>
      </rPr>
      <t/>
    </r>
    <phoneticPr fontId="6" type="noConversion"/>
  </si>
  <si>
    <r>
      <rPr>
        <sz val="10"/>
        <rFont val="華康粗圓體"/>
        <family val="3"/>
        <charset val="136"/>
      </rPr>
      <t>心理輔導或家庭諮詢機構</t>
    </r>
    <phoneticPr fontId="6" type="noConversion"/>
  </si>
  <si>
    <r>
      <rPr>
        <sz val="10"/>
        <rFont val="華康粗圓體"/>
        <family val="3"/>
        <charset val="136"/>
      </rPr>
      <t>其他福利服務機構</t>
    </r>
    <phoneticPr fontId="6" type="noConversion"/>
  </si>
  <si>
    <r>
      <rPr>
        <sz val="10"/>
        <rFont val="華康粗圓體"/>
        <family val="3"/>
        <charset val="136"/>
      </rPr>
      <t xml:space="preserve">寄養家
庭戶數
</t>
    </r>
    <r>
      <rPr>
        <sz val="10"/>
        <rFont val="Arial Narrow"/>
        <family val="2"/>
      </rPr>
      <t>(</t>
    </r>
    <r>
      <rPr>
        <sz val="10"/>
        <rFont val="華康粗圓體"/>
        <family val="3"/>
        <charset val="136"/>
      </rPr>
      <t>戶</t>
    </r>
    <r>
      <rPr>
        <sz val="10"/>
        <rFont val="Arial Narrow"/>
        <family val="2"/>
      </rPr>
      <t>)</t>
    </r>
    <phoneticPr fontId="6" type="noConversion"/>
  </si>
  <si>
    <r>
      <rPr>
        <sz val="10"/>
        <rFont val="華康粗圓體"/>
        <family val="3"/>
        <charset val="136"/>
      </rPr>
      <t>寄養兒童及少年人數</t>
    </r>
    <phoneticPr fontId="6" type="noConversion"/>
  </si>
  <si>
    <r>
      <rPr>
        <sz val="10"/>
        <rFont val="華康粗圓體"/>
        <family val="3"/>
        <charset val="136"/>
      </rPr>
      <t>生活扶助</t>
    </r>
    <phoneticPr fontId="6" type="noConversion"/>
  </si>
  <si>
    <r>
      <rPr>
        <sz val="10"/>
        <rFont val="華康粗圓體"/>
        <family val="3"/>
        <charset val="136"/>
      </rPr>
      <t>醫療補助</t>
    </r>
    <phoneticPr fontId="6" type="noConversion"/>
  </si>
  <si>
    <r>
      <rPr>
        <sz val="10"/>
        <rFont val="華康粗圓體"/>
        <family val="3"/>
        <charset val="136"/>
      </rPr>
      <t xml:space="preserve">托育補助
</t>
    </r>
    <r>
      <rPr>
        <sz val="10"/>
        <rFont val="Arial Narrow"/>
        <family val="2"/>
      </rPr>
      <t>(</t>
    </r>
    <r>
      <rPr>
        <sz val="10"/>
        <rFont val="華康粗圓體"/>
        <family val="3"/>
        <charset val="136"/>
      </rPr>
      <t>津貼</t>
    </r>
    <r>
      <rPr>
        <sz val="10"/>
        <rFont val="Arial Narrow"/>
        <family val="2"/>
      </rPr>
      <t>)</t>
    </r>
    <phoneticPr fontId="6" type="noConversion"/>
  </si>
  <si>
    <r>
      <rPr>
        <sz val="10"/>
        <rFont val="華康粗圓體"/>
        <family val="3"/>
        <charset val="136"/>
      </rPr>
      <t>機構數</t>
    </r>
    <phoneticPr fontId="6" type="noConversion"/>
  </si>
  <si>
    <r>
      <rPr>
        <sz val="10"/>
        <rFont val="華康粗圓體"/>
        <family val="3"/>
        <charset val="136"/>
      </rPr>
      <t>現有收容人數</t>
    </r>
    <phoneticPr fontId="6" type="noConversion"/>
  </si>
  <si>
    <r>
      <rPr>
        <sz val="10"/>
        <rFont val="華康粗圓體"/>
        <family val="3"/>
        <charset val="136"/>
      </rPr>
      <t>年底
機構數</t>
    </r>
    <r>
      <rPr>
        <sz val="8.5"/>
        <rFont val="Arial Narrow"/>
        <family val="2"/>
      </rPr>
      <t/>
    </r>
    <phoneticPr fontId="6" type="noConversion"/>
  </si>
  <si>
    <r>
      <rPr>
        <sz val="10"/>
        <rFont val="華康粗圓體"/>
        <family val="3"/>
        <charset val="136"/>
      </rPr>
      <t>服務人次</t>
    </r>
    <phoneticPr fontId="6" type="noConversion"/>
  </si>
  <si>
    <r>
      <rPr>
        <sz val="10"/>
        <rFont val="華康粗圓體"/>
        <family val="3"/>
        <charset val="136"/>
      </rPr>
      <t>民國</t>
    </r>
    <r>
      <rPr>
        <sz val="10"/>
        <rFont val="Arial Narrow"/>
        <family val="2"/>
      </rPr>
      <t>98</t>
    </r>
    <r>
      <rPr>
        <sz val="10"/>
        <rFont val="華康粗圓體"/>
        <family val="3"/>
        <charset val="136"/>
      </rPr>
      <t xml:space="preserve">年
</t>
    </r>
    <r>
      <rPr>
        <sz val="10"/>
        <rFont val="Arial Narrow"/>
        <family val="2"/>
      </rPr>
      <t>2009</t>
    </r>
    <phoneticPr fontId="4" type="noConversion"/>
  </si>
  <si>
    <r>
      <rPr>
        <sz val="10"/>
        <rFont val="華康粗圓體"/>
        <family val="3"/>
        <charset val="136"/>
      </rPr>
      <t>民國</t>
    </r>
    <r>
      <rPr>
        <sz val="10"/>
        <rFont val="Arial Narrow"/>
        <family val="2"/>
      </rPr>
      <t>99</t>
    </r>
    <r>
      <rPr>
        <sz val="10"/>
        <rFont val="華康粗圓體"/>
        <family val="3"/>
        <charset val="136"/>
      </rPr>
      <t xml:space="preserve">年
</t>
    </r>
    <r>
      <rPr>
        <sz val="10"/>
        <rFont val="Arial Narrow"/>
        <family val="2"/>
      </rPr>
      <t>2010</t>
    </r>
  </si>
  <si>
    <r>
      <rPr>
        <sz val="10"/>
        <rFont val="華康粗圓體"/>
        <family val="3"/>
        <charset val="136"/>
      </rPr>
      <t>民國</t>
    </r>
    <r>
      <rPr>
        <sz val="10"/>
        <rFont val="Arial Narrow"/>
        <family val="2"/>
      </rPr>
      <t>100</t>
    </r>
    <r>
      <rPr>
        <sz val="10"/>
        <rFont val="華康粗圓體"/>
        <family val="3"/>
        <charset val="136"/>
      </rPr>
      <t xml:space="preserve">年
</t>
    </r>
    <r>
      <rPr>
        <sz val="10"/>
        <rFont val="Arial Narrow"/>
        <family val="2"/>
      </rPr>
      <t>2011</t>
    </r>
    <phoneticPr fontId="4" type="noConversion"/>
  </si>
  <si>
    <r>
      <rPr>
        <sz val="10"/>
        <rFont val="華康粗圓體"/>
        <family val="3"/>
        <charset val="136"/>
      </rPr>
      <t>民國</t>
    </r>
    <r>
      <rPr>
        <sz val="10"/>
        <rFont val="Arial Narrow"/>
        <family val="2"/>
      </rPr>
      <t>101</t>
    </r>
    <r>
      <rPr>
        <sz val="10"/>
        <rFont val="華康粗圓體"/>
        <family val="3"/>
        <charset val="136"/>
      </rPr>
      <t xml:space="preserve">年
</t>
    </r>
    <r>
      <rPr>
        <sz val="10"/>
        <rFont val="Arial Narrow"/>
        <family val="2"/>
      </rPr>
      <t>2012</t>
    </r>
    <phoneticPr fontId="4" type="noConversion"/>
  </si>
  <si>
    <r>
      <rPr>
        <sz val="10"/>
        <rFont val="華康粗圓體"/>
        <family val="3"/>
        <charset val="136"/>
      </rPr>
      <t>民國</t>
    </r>
    <r>
      <rPr>
        <sz val="10"/>
        <rFont val="Arial Narrow"/>
        <family val="2"/>
      </rPr>
      <t>102</t>
    </r>
    <r>
      <rPr>
        <sz val="10"/>
        <rFont val="華康粗圓體"/>
        <family val="3"/>
        <charset val="136"/>
      </rPr>
      <t xml:space="preserve">年
</t>
    </r>
    <r>
      <rPr>
        <sz val="10"/>
        <rFont val="Arial Narrow"/>
        <family val="2"/>
      </rPr>
      <t>2013</t>
    </r>
    <phoneticPr fontId="4" type="noConversion"/>
  </si>
  <si>
    <r>
      <rPr>
        <sz val="10"/>
        <rFont val="華康粗圓體"/>
        <family val="3"/>
        <charset val="136"/>
      </rPr>
      <t>民國</t>
    </r>
    <r>
      <rPr>
        <sz val="10"/>
        <rFont val="Arial Narrow"/>
        <family val="2"/>
      </rPr>
      <t>103</t>
    </r>
    <r>
      <rPr>
        <sz val="10"/>
        <rFont val="華康粗圓體"/>
        <family val="3"/>
        <charset val="136"/>
      </rPr>
      <t xml:space="preserve">年
</t>
    </r>
    <r>
      <rPr>
        <sz val="10"/>
        <rFont val="Arial Narrow"/>
        <family val="2"/>
      </rPr>
      <t>2014</t>
    </r>
    <phoneticPr fontId="4" type="noConversion"/>
  </si>
  <si>
    <r>
      <rPr>
        <sz val="10"/>
        <rFont val="華康粗圓體"/>
        <family val="3"/>
        <charset val="136"/>
      </rPr>
      <t>年底老人長期照顧及安養機構</t>
    </r>
    <r>
      <rPr>
        <sz val="8.5"/>
        <rFont val="Arial Narrow"/>
        <family val="2"/>
      </rPr>
      <t/>
    </r>
    <phoneticPr fontId="6" type="noConversion"/>
  </si>
  <si>
    <r>
      <rPr>
        <sz val="10"/>
        <rFont val="華康粗圓體"/>
        <family val="3"/>
        <charset val="136"/>
      </rPr>
      <t>長期照顧機構</t>
    </r>
    <phoneticPr fontId="6" type="noConversion"/>
  </si>
  <si>
    <r>
      <rPr>
        <sz val="10"/>
        <rFont val="華康粗圓體"/>
        <family val="3"/>
        <charset val="136"/>
      </rPr>
      <t>安養機構</t>
    </r>
    <phoneticPr fontId="6" type="noConversion"/>
  </si>
  <si>
    <r>
      <rPr>
        <sz val="10"/>
        <rFont val="華康粗圓體"/>
        <family val="3"/>
        <charset val="136"/>
      </rPr>
      <t>長期照護</t>
    </r>
    <r>
      <rPr>
        <sz val="10"/>
        <rFont val="Arial Narrow"/>
        <family val="2"/>
      </rPr>
      <t>(</t>
    </r>
    <r>
      <rPr>
        <sz val="10"/>
        <rFont val="華康粗圓體"/>
        <family val="3"/>
        <charset val="136"/>
      </rPr>
      <t>型</t>
    </r>
    <r>
      <rPr>
        <sz val="10"/>
        <rFont val="Arial Narrow"/>
        <family val="2"/>
      </rPr>
      <t>)</t>
    </r>
    <r>
      <rPr>
        <sz val="10"/>
        <rFont val="華康粗圓體"/>
        <family val="3"/>
        <charset val="136"/>
      </rPr>
      <t>機構</t>
    </r>
    <phoneticPr fontId="6" type="noConversion"/>
  </si>
  <si>
    <r>
      <rPr>
        <sz val="10"/>
        <rFont val="華康粗圓體"/>
        <family val="3"/>
        <charset val="136"/>
      </rPr>
      <t>養護</t>
    </r>
    <r>
      <rPr>
        <sz val="10"/>
        <rFont val="Arial Narrow"/>
        <family val="2"/>
      </rPr>
      <t>(</t>
    </r>
    <r>
      <rPr>
        <sz val="10"/>
        <rFont val="華康粗圓體"/>
        <family val="3"/>
        <charset val="136"/>
      </rPr>
      <t>型</t>
    </r>
    <r>
      <rPr>
        <sz val="10"/>
        <rFont val="Arial Narrow"/>
        <family val="2"/>
      </rPr>
      <t>)</t>
    </r>
    <r>
      <rPr>
        <sz val="10"/>
        <rFont val="華康粗圓體"/>
        <family val="3"/>
        <charset val="136"/>
      </rPr>
      <t>機構</t>
    </r>
    <phoneticPr fontId="6" type="noConversion"/>
  </si>
  <si>
    <r>
      <rPr>
        <sz val="10"/>
        <rFont val="華康粗圓體"/>
        <family val="3"/>
        <charset val="136"/>
      </rPr>
      <t>失智照顧型機構</t>
    </r>
    <phoneticPr fontId="6" type="noConversion"/>
  </si>
  <si>
    <r>
      <rPr>
        <sz val="10"/>
        <rFont val="華康粗圓體"/>
        <family val="3"/>
        <charset val="136"/>
      </rPr>
      <t>實際進住人數</t>
    </r>
    <phoneticPr fontId="6" type="noConversion"/>
  </si>
  <si>
    <r>
      <rPr>
        <sz val="10"/>
        <rFont val="華康粗圓體"/>
        <family val="3"/>
        <charset val="136"/>
      </rPr>
      <t>處</t>
    </r>
    <r>
      <rPr>
        <sz val="10"/>
        <rFont val="Arial Narrow"/>
        <family val="2"/>
      </rPr>
      <t xml:space="preserve">    </t>
    </r>
    <r>
      <rPr>
        <sz val="10"/>
        <rFont val="華康粗圓體"/>
        <family val="3"/>
        <charset val="136"/>
      </rPr>
      <t>理</t>
    </r>
    <r>
      <rPr>
        <sz val="10"/>
        <rFont val="Arial Narrow"/>
        <family val="2"/>
      </rPr>
      <t xml:space="preserve">    </t>
    </r>
    <r>
      <rPr>
        <sz val="10"/>
        <rFont val="華康粗圓體"/>
        <family val="3"/>
        <charset val="136"/>
      </rPr>
      <t>遊</t>
    </r>
    <r>
      <rPr>
        <sz val="10"/>
        <rFont val="Arial Narrow"/>
        <family val="2"/>
      </rPr>
      <t xml:space="preserve">    </t>
    </r>
    <r>
      <rPr>
        <sz val="10"/>
        <rFont val="華康粗圓體"/>
        <family val="3"/>
        <charset val="136"/>
      </rPr>
      <t>民</t>
    </r>
    <r>
      <rPr>
        <sz val="10"/>
        <rFont val="Arial Narrow"/>
        <family val="2"/>
      </rPr>
      <t xml:space="preserve">    </t>
    </r>
    <r>
      <rPr>
        <sz val="10"/>
        <rFont val="華康粗圓體"/>
        <family val="3"/>
        <charset val="136"/>
      </rPr>
      <t>情</t>
    </r>
    <r>
      <rPr>
        <sz val="10"/>
        <rFont val="Arial Narrow"/>
        <family val="2"/>
      </rPr>
      <t xml:space="preserve">    </t>
    </r>
    <r>
      <rPr>
        <sz val="10"/>
        <rFont val="華康粗圓體"/>
        <family val="3"/>
        <charset val="136"/>
      </rPr>
      <t>形</t>
    </r>
    <r>
      <rPr>
        <sz val="10"/>
        <rFont val="Arial Narrow"/>
        <family val="2"/>
      </rPr>
      <t xml:space="preserve">    (</t>
    </r>
    <r>
      <rPr>
        <sz val="10"/>
        <rFont val="華康粗圓體"/>
        <family val="3"/>
        <charset val="136"/>
      </rPr>
      <t>人次</t>
    </r>
    <r>
      <rPr>
        <sz val="10"/>
        <rFont val="Arial Narrow"/>
        <family val="2"/>
      </rPr>
      <t>)</t>
    </r>
    <phoneticPr fontId="4" type="noConversion"/>
  </si>
  <si>
    <r>
      <rPr>
        <sz val="10"/>
        <rFont val="華康粗圓體"/>
        <family val="3"/>
        <charset val="136"/>
      </rPr>
      <t>協助返家</t>
    </r>
    <phoneticPr fontId="6" type="noConversion"/>
  </si>
  <si>
    <r>
      <rPr>
        <sz val="10"/>
        <rFont val="華康粗圓體"/>
        <family val="3"/>
        <charset val="136"/>
      </rPr>
      <t>關懷服務</t>
    </r>
    <phoneticPr fontId="6" type="noConversion"/>
  </si>
  <si>
    <r>
      <rPr>
        <sz val="10"/>
        <rFont val="華康粗圓體"/>
        <family val="3"/>
        <charset val="136"/>
      </rPr>
      <t>年節活動</t>
    </r>
    <phoneticPr fontId="6" type="noConversion"/>
  </si>
  <si>
    <r>
      <rPr>
        <sz val="10"/>
        <rFont val="華康粗圓體"/>
        <family val="3"/>
        <charset val="136"/>
      </rPr>
      <t>因故死亡</t>
    </r>
    <phoneticPr fontId="6" type="noConversion"/>
  </si>
  <si>
    <r>
      <rPr>
        <sz val="10"/>
        <rFont val="華康粗圓體"/>
        <family val="3"/>
        <charset val="136"/>
      </rPr>
      <t>老人安養
機　　構</t>
    </r>
    <phoneticPr fontId="6" type="noConversion"/>
  </si>
  <si>
    <r>
      <rPr>
        <sz val="10"/>
        <rFont val="華康粗圓體"/>
        <family val="3"/>
        <charset val="136"/>
      </rPr>
      <t>老人養護
機　　構</t>
    </r>
    <phoneticPr fontId="6" type="noConversion"/>
  </si>
  <si>
    <r>
      <rPr>
        <sz val="10"/>
        <rFont val="華康粗圓體"/>
        <family val="3"/>
        <charset val="136"/>
      </rPr>
      <t>身心障礙
福利機構</t>
    </r>
    <phoneticPr fontId="6" type="noConversion"/>
  </si>
  <si>
    <r>
      <rPr>
        <sz val="10"/>
        <rFont val="華康粗圓體"/>
        <family val="3"/>
        <charset val="136"/>
      </rPr>
      <t>年　　別</t>
    </r>
    <phoneticPr fontId="4" type="noConversion"/>
  </si>
  <si>
    <r>
      <rPr>
        <sz val="10"/>
        <rFont val="華康粗圓體"/>
        <family val="3"/>
        <charset val="136"/>
      </rPr>
      <t xml:space="preserve">災害次數
</t>
    </r>
    <r>
      <rPr>
        <sz val="10"/>
        <rFont val="Arial Narrow"/>
        <family val="2"/>
      </rPr>
      <t>(</t>
    </r>
    <r>
      <rPr>
        <sz val="10"/>
        <rFont val="華康粗圓體"/>
        <family val="3"/>
        <charset val="136"/>
      </rPr>
      <t>次</t>
    </r>
    <r>
      <rPr>
        <sz val="10"/>
        <rFont val="Arial Narrow"/>
        <family val="2"/>
      </rPr>
      <t>)</t>
    </r>
    <phoneticPr fontId="4" type="noConversion"/>
  </si>
  <si>
    <r>
      <rPr>
        <sz val="10"/>
        <rFont val="華康粗圓體"/>
        <family val="3"/>
        <charset val="136"/>
      </rPr>
      <t>收容所</t>
    </r>
    <r>
      <rPr>
        <sz val="10"/>
        <rFont val="Arial Narrow"/>
        <family val="2"/>
      </rPr>
      <t xml:space="preserve"> Temp. Sheltering Centers</t>
    </r>
    <phoneticPr fontId="6" type="noConversion"/>
  </si>
  <si>
    <r>
      <rPr>
        <sz val="10"/>
        <rFont val="華康粗圓體"/>
        <family val="3"/>
        <charset val="136"/>
      </rPr>
      <t>受災人數</t>
    </r>
    <r>
      <rPr>
        <sz val="10"/>
        <rFont val="Arial Narrow"/>
        <family val="2"/>
      </rPr>
      <t xml:space="preserve"> (</t>
    </r>
    <r>
      <rPr>
        <sz val="10"/>
        <rFont val="華康粗圓體"/>
        <family val="3"/>
        <charset val="136"/>
      </rPr>
      <t>人</t>
    </r>
    <r>
      <rPr>
        <sz val="10"/>
        <rFont val="Arial Narrow"/>
        <family val="2"/>
      </rPr>
      <t>)</t>
    </r>
    <phoneticPr fontId="6" type="noConversion"/>
  </si>
  <si>
    <r>
      <rPr>
        <sz val="10"/>
        <rFont val="華康粗圓體"/>
        <family val="3"/>
        <charset val="136"/>
      </rPr>
      <t>安遷救助</t>
    </r>
    <r>
      <rPr>
        <sz val="10"/>
        <rFont val="Arial Narrow"/>
        <family val="2"/>
      </rPr>
      <t xml:space="preserve"> Moving Assistance</t>
    </r>
    <phoneticPr fontId="4" type="noConversion"/>
  </si>
  <si>
    <r>
      <rPr>
        <sz val="10"/>
        <rFont val="華康粗圓體"/>
        <family val="3"/>
        <charset val="136"/>
      </rPr>
      <t xml:space="preserve">財物受損
影響生計者
</t>
    </r>
    <r>
      <rPr>
        <sz val="10"/>
        <rFont val="Arial Narrow"/>
        <family val="2"/>
      </rPr>
      <t>(</t>
    </r>
    <r>
      <rPr>
        <sz val="10"/>
        <rFont val="華康粗圓體"/>
        <family val="3"/>
        <charset val="136"/>
      </rPr>
      <t>戶</t>
    </r>
    <r>
      <rPr>
        <sz val="10"/>
        <rFont val="Arial Narrow"/>
        <family val="2"/>
      </rPr>
      <t>)</t>
    </r>
    <phoneticPr fontId="4" type="noConversion"/>
  </si>
  <si>
    <r>
      <rPr>
        <sz val="10"/>
        <rFont val="華康粗圓體"/>
        <family val="3"/>
        <charset val="136"/>
      </rPr>
      <t xml:space="preserve">救助金額
</t>
    </r>
    <r>
      <rPr>
        <sz val="10"/>
        <rFont val="Arial Narrow"/>
        <family val="2"/>
      </rPr>
      <t>(</t>
    </r>
    <r>
      <rPr>
        <sz val="10"/>
        <rFont val="華康粗圓體"/>
        <family val="3"/>
        <charset val="136"/>
      </rPr>
      <t>千元</t>
    </r>
    <r>
      <rPr>
        <sz val="10"/>
        <rFont val="Arial Narrow"/>
        <family val="2"/>
      </rPr>
      <t>)</t>
    </r>
    <phoneticPr fontId="4" type="noConversion"/>
  </si>
  <si>
    <r>
      <rPr>
        <sz val="10"/>
        <rFont val="華康粗圓體"/>
        <family val="3"/>
        <charset val="136"/>
      </rPr>
      <t xml:space="preserve">所數
</t>
    </r>
    <r>
      <rPr>
        <sz val="10"/>
        <rFont val="Arial Narrow"/>
        <family val="2"/>
      </rPr>
      <t>(</t>
    </r>
    <r>
      <rPr>
        <sz val="10"/>
        <rFont val="華康粗圓體"/>
        <family val="3"/>
        <charset val="136"/>
      </rPr>
      <t>所</t>
    </r>
    <r>
      <rPr>
        <sz val="10"/>
        <rFont val="Arial Narrow"/>
        <family val="2"/>
      </rPr>
      <t>)</t>
    </r>
    <phoneticPr fontId="4" type="noConversion"/>
  </si>
  <si>
    <r>
      <rPr>
        <sz val="10"/>
        <rFont val="華康粗圓體"/>
        <family val="3"/>
        <charset val="136"/>
      </rPr>
      <t xml:space="preserve">臨時收容災民數
</t>
    </r>
    <r>
      <rPr>
        <sz val="10"/>
        <rFont val="Arial Narrow"/>
        <family val="2"/>
      </rPr>
      <t>(</t>
    </r>
    <r>
      <rPr>
        <sz val="10"/>
        <rFont val="華康粗圓體"/>
        <family val="3"/>
        <charset val="136"/>
      </rPr>
      <t>人</t>
    </r>
    <r>
      <rPr>
        <sz val="10"/>
        <rFont val="Arial Narrow"/>
        <family val="2"/>
      </rPr>
      <t>)</t>
    </r>
    <phoneticPr fontId="4" type="noConversion"/>
  </si>
  <si>
    <r>
      <rPr>
        <sz val="10"/>
        <rFont val="華康粗圓體"/>
        <family val="3"/>
        <charset val="136"/>
      </rPr>
      <t>死亡</t>
    </r>
    <phoneticPr fontId="4" type="noConversion"/>
  </si>
  <si>
    <r>
      <rPr>
        <sz val="10"/>
        <rFont val="華康粗圓體"/>
        <family val="3"/>
        <charset val="136"/>
      </rPr>
      <t>失蹤</t>
    </r>
    <phoneticPr fontId="4" type="noConversion"/>
  </si>
  <si>
    <r>
      <rPr>
        <sz val="10"/>
        <rFont val="華康粗圓體"/>
        <family val="3"/>
        <charset val="136"/>
      </rPr>
      <t>重傷</t>
    </r>
    <phoneticPr fontId="4" type="noConversion"/>
  </si>
  <si>
    <r>
      <rPr>
        <sz val="10"/>
        <rFont val="華康粗圓體"/>
        <family val="3"/>
        <charset val="136"/>
      </rPr>
      <t xml:space="preserve">戶數
</t>
    </r>
    <r>
      <rPr>
        <sz val="10"/>
        <rFont val="Arial Narrow"/>
        <family val="2"/>
      </rPr>
      <t>(</t>
    </r>
    <r>
      <rPr>
        <sz val="10"/>
        <rFont val="華康粗圓體"/>
        <family val="3"/>
        <charset val="136"/>
      </rPr>
      <t>戶</t>
    </r>
    <r>
      <rPr>
        <sz val="10"/>
        <rFont val="Arial Narrow"/>
        <family val="2"/>
      </rPr>
      <t>)</t>
    </r>
    <phoneticPr fontId="6" type="noConversion"/>
  </si>
  <si>
    <r>
      <rPr>
        <sz val="10"/>
        <rFont val="華康粗圓體"/>
        <family val="3"/>
        <charset val="136"/>
      </rPr>
      <t xml:space="preserve">人數
</t>
    </r>
    <r>
      <rPr>
        <sz val="10"/>
        <rFont val="Arial Narrow"/>
        <family val="2"/>
      </rPr>
      <t>(</t>
    </r>
    <r>
      <rPr>
        <sz val="10"/>
        <rFont val="華康粗圓體"/>
        <family val="3"/>
        <charset val="136"/>
      </rPr>
      <t>人</t>
    </r>
    <r>
      <rPr>
        <sz val="10"/>
        <rFont val="Arial Narrow"/>
        <family val="2"/>
      </rPr>
      <t>)</t>
    </r>
    <phoneticPr fontId="6" type="noConversion"/>
  </si>
  <si>
    <r>
      <rPr>
        <sz val="10"/>
        <rFont val="華康粗圓體"/>
        <family val="3"/>
        <charset val="136"/>
      </rPr>
      <t>救助人次</t>
    </r>
    <phoneticPr fontId="4" type="noConversion"/>
  </si>
  <si>
    <r>
      <rPr>
        <sz val="10"/>
        <rFont val="華康粗圓體"/>
        <family val="3"/>
        <charset val="136"/>
      </rPr>
      <t>救助金額</t>
    </r>
    <phoneticPr fontId="4" type="noConversion"/>
  </si>
  <si>
    <r>
      <rPr>
        <sz val="10"/>
        <rFont val="華康粗圓體"/>
        <family val="3"/>
        <charset val="136"/>
      </rPr>
      <t>負家庭主要生計責任且無
法工作致生活陷於困境者</t>
    </r>
    <phoneticPr fontId="6" type="noConversion"/>
  </si>
  <si>
    <r>
      <rPr>
        <sz val="10"/>
        <rFont val="華康粗圓體"/>
        <family val="3"/>
        <charset val="136"/>
      </rPr>
      <t>其他遭遇重大變故者</t>
    </r>
    <phoneticPr fontId="4" type="noConversion"/>
  </si>
  <si>
    <r>
      <rPr>
        <sz val="10"/>
        <rFont val="華康粗圓體"/>
        <family val="3"/>
        <charset val="136"/>
      </rPr>
      <t>川資突然發生困難者</t>
    </r>
    <phoneticPr fontId="4" type="noConversion"/>
  </si>
  <si>
    <r>
      <rPr>
        <sz val="10"/>
        <rFont val="華康粗圓體"/>
        <family val="3"/>
        <charset val="136"/>
      </rPr>
      <t>無遺屬與遺產葬埋者</t>
    </r>
    <phoneticPr fontId="6" type="noConversion"/>
  </si>
  <si>
    <r>
      <rPr>
        <sz val="10"/>
        <rFont val="華康粗圓體"/>
        <family val="3"/>
        <charset val="136"/>
      </rPr>
      <t>救助人次</t>
    </r>
  </si>
  <si>
    <r>
      <rPr>
        <sz val="10"/>
        <rFont val="華康粗圓體"/>
        <family val="3"/>
        <charset val="136"/>
      </rPr>
      <t>救助金額</t>
    </r>
  </si>
  <si>
    <r>
      <rPr>
        <sz val="10"/>
        <color indexed="8"/>
        <rFont val="華康粗圓體"/>
        <family val="3"/>
        <charset val="136"/>
      </rPr>
      <t>民國</t>
    </r>
    <r>
      <rPr>
        <sz val="10"/>
        <color indexed="8"/>
        <rFont val="Arial Narrow"/>
        <family val="2"/>
      </rPr>
      <t>98</t>
    </r>
    <r>
      <rPr>
        <sz val="10"/>
        <color indexed="8"/>
        <rFont val="華康粗圓體"/>
        <family val="3"/>
        <charset val="136"/>
      </rPr>
      <t xml:space="preserve">年
</t>
    </r>
    <r>
      <rPr>
        <sz val="10"/>
        <color indexed="8"/>
        <rFont val="Arial Narrow"/>
        <family val="2"/>
      </rPr>
      <t>2009</t>
    </r>
    <r>
      <rPr>
        <sz val="12"/>
        <rFont val="新細明體"/>
        <family val="1"/>
        <charset val="136"/>
      </rPr>
      <t/>
    </r>
    <phoneticPr fontId="6" type="noConversion"/>
  </si>
  <si>
    <r>
      <rPr>
        <sz val="10"/>
        <color indexed="8"/>
        <rFont val="華康粗圓體"/>
        <family val="3"/>
        <charset val="136"/>
      </rPr>
      <t>民國</t>
    </r>
    <r>
      <rPr>
        <sz val="10"/>
        <color indexed="8"/>
        <rFont val="Arial Narrow"/>
        <family val="2"/>
      </rPr>
      <t>99</t>
    </r>
    <r>
      <rPr>
        <sz val="10"/>
        <color indexed="8"/>
        <rFont val="華康粗圓體"/>
        <family val="3"/>
        <charset val="136"/>
      </rPr>
      <t xml:space="preserve">年
</t>
    </r>
    <r>
      <rPr>
        <sz val="10"/>
        <color indexed="8"/>
        <rFont val="Arial Narrow"/>
        <family val="2"/>
      </rPr>
      <t>2010</t>
    </r>
    <phoneticPr fontId="6" type="noConversion"/>
  </si>
  <si>
    <r>
      <rPr>
        <sz val="10"/>
        <rFont val="華康粗圓體"/>
        <family val="3"/>
        <charset val="136"/>
      </rPr>
      <t>門診
人次</t>
    </r>
    <phoneticPr fontId="4" type="noConversion"/>
  </si>
  <si>
    <r>
      <rPr>
        <sz val="10"/>
        <rFont val="華康粗圓體"/>
        <family val="3"/>
        <charset val="136"/>
      </rPr>
      <t>補助金額</t>
    </r>
    <r>
      <rPr>
        <sz val="9"/>
        <rFont val="Arial Narrow"/>
        <family val="2"/>
      </rPr>
      <t/>
    </r>
    <phoneticPr fontId="4" type="noConversion"/>
  </si>
  <si>
    <r>
      <rPr>
        <sz val="10"/>
        <rFont val="華康粗圓體"/>
        <family val="3"/>
        <charset val="136"/>
      </rPr>
      <t>低收
入戶</t>
    </r>
    <phoneticPr fontId="4" type="noConversion"/>
  </si>
  <si>
    <r>
      <rPr>
        <sz val="10"/>
        <rFont val="華康粗圓體"/>
        <family val="3"/>
        <charset val="136"/>
      </rPr>
      <t>中低收入老人生活津貼　</t>
    </r>
    <r>
      <rPr>
        <sz val="10"/>
        <rFont val="Arial Narrow"/>
        <family val="2"/>
      </rPr>
      <t>Living Allowance for Mid or Low Income Elders</t>
    </r>
    <phoneticPr fontId="6" type="noConversion"/>
  </si>
  <si>
    <r>
      <rPr>
        <sz val="10"/>
        <rFont val="華康粗圓體"/>
        <family val="3"/>
        <charset val="136"/>
      </rPr>
      <t>中低收入老人生活津貼與老農津貼
受益人數占</t>
    </r>
    <r>
      <rPr>
        <sz val="10"/>
        <rFont val="Arial Narrow"/>
        <family val="2"/>
      </rPr>
      <t>65</t>
    </r>
    <r>
      <rPr>
        <sz val="10"/>
        <rFont val="華康粗圓體"/>
        <family val="3"/>
        <charset val="136"/>
      </rPr>
      <t xml:space="preserve">歲以上人口比率
</t>
    </r>
    <r>
      <rPr>
        <sz val="10"/>
        <rFont val="Arial Narrow"/>
        <family val="2"/>
      </rPr>
      <t>(%)</t>
    </r>
    <phoneticPr fontId="4" type="noConversion"/>
  </si>
  <si>
    <r>
      <rPr>
        <sz val="10"/>
        <rFont val="華康粗圓體"/>
        <family val="3"/>
        <charset val="136"/>
      </rPr>
      <t>年</t>
    </r>
    <r>
      <rPr>
        <sz val="10"/>
        <rFont val="Arial Narrow"/>
        <family val="2"/>
      </rPr>
      <t xml:space="preserve">    </t>
    </r>
    <r>
      <rPr>
        <sz val="10"/>
        <rFont val="華康粗圓體"/>
        <family val="3"/>
        <charset val="136"/>
      </rPr>
      <t>　　別</t>
    </r>
    <phoneticPr fontId="4" type="noConversion"/>
  </si>
  <si>
    <r>
      <rPr>
        <sz val="10"/>
        <rFont val="華康粗圓體"/>
        <family val="3"/>
        <charset val="136"/>
      </rPr>
      <t>中低收入戶　</t>
    </r>
    <r>
      <rPr>
        <sz val="10"/>
        <rFont val="Arial Narrow"/>
        <family val="2"/>
      </rPr>
      <t>Mid or Low Income Elders</t>
    </r>
    <phoneticPr fontId="4" type="noConversion"/>
  </si>
  <si>
    <r>
      <rPr>
        <sz val="10"/>
        <rFont val="華康粗圓體"/>
        <family val="3"/>
        <charset val="136"/>
      </rPr>
      <t>最低生活費</t>
    </r>
    <r>
      <rPr>
        <sz val="10"/>
        <rFont val="Arial Narrow"/>
        <family val="2"/>
      </rPr>
      <t>1</t>
    </r>
    <r>
      <rPr>
        <sz val="10"/>
        <rFont val="華康粗圓體"/>
        <family val="3"/>
        <charset val="136"/>
      </rPr>
      <t>倍以上～未滿</t>
    </r>
    <r>
      <rPr>
        <sz val="10"/>
        <rFont val="Arial Narrow"/>
        <family val="2"/>
      </rPr>
      <t>1.5</t>
    </r>
    <r>
      <rPr>
        <sz val="10"/>
        <rFont val="華康粗圓體"/>
        <family val="3"/>
        <charset val="136"/>
      </rPr>
      <t>倍者</t>
    </r>
    <phoneticPr fontId="4" type="noConversion"/>
  </si>
  <si>
    <r>
      <rPr>
        <sz val="10"/>
        <rFont val="華康粗圓體"/>
        <family val="3"/>
        <charset val="136"/>
      </rPr>
      <t>最低生活費</t>
    </r>
    <r>
      <rPr>
        <sz val="10"/>
        <rFont val="Arial Narrow"/>
        <family val="2"/>
      </rPr>
      <t>1.5</t>
    </r>
    <r>
      <rPr>
        <sz val="10"/>
        <rFont val="華康粗圓體"/>
        <family val="3"/>
        <charset val="136"/>
      </rPr>
      <t>倍以上～未滿</t>
    </r>
    <r>
      <rPr>
        <sz val="10"/>
        <rFont val="Arial Narrow"/>
        <family val="2"/>
      </rPr>
      <t>2.5</t>
    </r>
    <r>
      <rPr>
        <sz val="10"/>
        <rFont val="華康粗圓體"/>
        <family val="3"/>
        <charset val="136"/>
      </rPr>
      <t>倍者</t>
    </r>
    <phoneticPr fontId="4" type="noConversion"/>
  </si>
  <si>
    <r>
      <rPr>
        <sz val="10"/>
        <rFont val="華康粗圓體"/>
        <family val="3"/>
        <charset val="136"/>
      </rPr>
      <t>核付金額</t>
    </r>
    <phoneticPr fontId="4" type="noConversion"/>
  </si>
  <si>
    <r>
      <t>1 Times</t>
    </r>
    <r>
      <rPr>
        <sz val="10"/>
        <rFont val="華康粗圓體"/>
        <family val="3"/>
        <charset val="136"/>
      </rPr>
      <t>～</t>
    </r>
    <r>
      <rPr>
        <sz val="10"/>
        <rFont val="Arial Narrow"/>
        <family val="2"/>
      </rPr>
      <t>1.5 Times Minimum of Subsistence</t>
    </r>
    <phoneticPr fontId="6" type="noConversion"/>
  </si>
  <si>
    <r>
      <t>1.5 Times</t>
    </r>
    <r>
      <rPr>
        <sz val="10"/>
        <rFont val="華康粗圓體"/>
        <family val="3"/>
        <charset val="136"/>
      </rPr>
      <t>～</t>
    </r>
    <r>
      <rPr>
        <sz val="10"/>
        <rFont val="Arial Narrow"/>
        <family val="2"/>
      </rPr>
      <t>2.5 Times Minimum of Subsistence</t>
    </r>
    <phoneticPr fontId="6" type="noConversion"/>
  </si>
  <si>
    <r>
      <rPr>
        <sz val="10"/>
        <rFont val="華康粗圓體"/>
        <family val="3"/>
        <charset val="136"/>
      </rPr>
      <t>人數</t>
    </r>
    <phoneticPr fontId="4" type="noConversion"/>
  </si>
  <si>
    <r>
      <rPr>
        <sz val="10"/>
        <rFont val="華康粗圓體"/>
        <family val="3"/>
        <charset val="136"/>
      </rPr>
      <t>金額</t>
    </r>
    <phoneticPr fontId="4" type="noConversion"/>
  </si>
  <si>
    <r>
      <rPr>
        <sz val="10"/>
        <rFont val="華康粗圓體"/>
        <family val="3"/>
        <charset val="136"/>
      </rPr>
      <t>計</t>
    </r>
  </si>
  <si>
    <r>
      <rPr>
        <sz val="10"/>
        <rFont val="華康粗圓體"/>
        <family val="3"/>
        <charset val="136"/>
      </rPr>
      <t>男</t>
    </r>
  </si>
  <si>
    <r>
      <rPr>
        <sz val="10"/>
        <rFont val="華康粗圓體"/>
        <family val="3"/>
        <charset val="136"/>
      </rPr>
      <t>女</t>
    </r>
  </si>
  <si>
    <r>
      <rPr>
        <sz val="10"/>
        <rFont val="華康粗圓體"/>
        <family val="3"/>
        <charset val="136"/>
      </rPr>
      <t>年別</t>
    </r>
    <phoneticPr fontId="4" type="noConversion"/>
  </si>
  <si>
    <r>
      <rPr>
        <sz val="10"/>
        <rFont val="華康粗圓體"/>
        <family val="3"/>
        <charset val="136"/>
      </rPr>
      <t>總計</t>
    </r>
    <r>
      <rPr>
        <sz val="10"/>
        <rFont val="Arial Narrow"/>
        <family val="2"/>
      </rPr>
      <t xml:space="preserve"> (</t>
    </r>
    <r>
      <rPr>
        <sz val="10"/>
        <rFont val="華康粗圓體"/>
        <family val="3"/>
        <charset val="136"/>
      </rPr>
      <t>年底</t>
    </r>
    <r>
      <rPr>
        <sz val="10"/>
        <rFont val="Arial Narrow"/>
        <family val="2"/>
      </rPr>
      <t>)</t>
    </r>
    <phoneticPr fontId="4" type="noConversion"/>
  </si>
  <si>
    <r>
      <rPr>
        <sz val="10"/>
        <rFont val="華康粗圓體"/>
        <family val="3"/>
        <charset val="136"/>
      </rPr>
      <t>教育補助</t>
    </r>
    <phoneticPr fontId="6" type="noConversion"/>
  </si>
  <si>
    <r>
      <rPr>
        <sz val="10"/>
        <rFont val="華康粗圓體"/>
        <family val="3"/>
        <charset val="136"/>
      </rPr>
      <t>喪葬補助</t>
    </r>
    <phoneticPr fontId="6" type="noConversion"/>
  </si>
  <si>
    <r>
      <rPr>
        <sz val="10"/>
        <rFont val="華康粗圓體"/>
        <family val="3"/>
        <charset val="136"/>
      </rPr>
      <t>輔導就業服務</t>
    </r>
    <phoneticPr fontId="6" type="noConversion"/>
  </si>
  <si>
    <r>
      <rPr>
        <sz val="10"/>
        <rFont val="華康粗圓體"/>
        <family val="3"/>
        <charset val="136"/>
      </rPr>
      <t>戶數</t>
    </r>
    <phoneticPr fontId="4" type="noConversion"/>
  </si>
  <si>
    <r>
      <rPr>
        <sz val="10"/>
        <rFont val="華康粗圓體"/>
        <family val="3"/>
        <charset val="136"/>
      </rPr>
      <t>就業服務</t>
    </r>
    <phoneticPr fontId="6" type="noConversion"/>
  </si>
  <si>
    <r>
      <rPr>
        <sz val="10"/>
        <rFont val="華康粗圓體"/>
        <family val="3"/>
        <charset val="136"/>
      </rPr>
      <t>職業訓練</t>
    </r>
    <phoneticPr fontId="6" type="noConversion"/>
  </si>
  <si>
    <r>
      <rPr>
        <sz val="10"/>
        <rFont val="華康粗圓體"/>
        <family val="3"/>
        <charset val="136"/>
      </rPr>
      <t>以工代賑</t>
    </r>
    <phoneticPr fontId="6" type="noConversion"/>
  </si>
  <si>
    <r>
      <rPr>
        <sz val="10"/>
        <rFont val="華康粗圓體"/>
        <family val="3"/>
        <charset val="136"/>
      </rPr>
      <t>人數</t>
    </r>
    <phoneticPr fontId="6" type="noConversion"/>
  </si>
  <si>
    <r>
      <rPr>
        <sz val="10"/>
        <rFont val="華康粗圓體"/>
        <family val="3"/>
        <charset val="136"/>
      </rPr>
      <t>戶數</t>
    </r>
    <phoneticPr fontId="6" type="noConversion"/>
  </si>
  <si>
    <r>
      <rPr>
        <sz val="10"/>
        <rFont val="華康粗圓體"/>
        <family val="3"/>
        <charset val="136"/>
      </rPr>
      <t>戶次</t>
    </r>
    <phoneticPr fontId="6" type="noConversion"/>
  </si>
  <si>
    <r>
      <rPr>
        <sz val="10"/>
        <rFont val="華康粗圓體"/>
        <family val="3"/>
        <charset val="136"/>
      </rPr>
      <t>第一款</t>
    </r>
    <phoneticPr fontId="4" type="noConversion"/>
  </si>
  <si>
    <r>
      <rPr>
        <sz val="10"/>
        <rFont val="華康粗圓體"/>
        <family val="3"/>
        <charset val="136"/>
      </rPr>
      <t>第三款</t>
    </r>
    <phoneticPr fontId="4" type="noConversion"/>
  </si>
  <si>
    <r>
      <rPr>
        <sz val="10"/>
        <rFont val="華康粗圓體"/>
        <family val="3"/>
        <charset val="136"/>
      </rPr>
      <t>就學生活補助</t>
    </r>
    <phoneticPr fontId="6" type="noConversion"/>
  </si>
  <si>
    <r>
      <rPr>
        <sz val="10"/>
        <rFont val="華康粗圓體"/>
        <family val="3"/>
        <charset val="136"/>
      </rPr>
      <t>第</t>
    </r>
    <r>
      <rPr>
        <sz val="10"/>
        <rFont val="Arial Narrow"/>
        <family val="2"/>
      </rPr>
      <t>1</t>
    </r>
    <r>
      <rPr>
        <sz val="10"/>
        <rFont val="華康粗圓體"/>
        <family val="3"/>
        <charset val="136"/>
      </rPr>
      <t>款</t>
    </r>
    <r>
      <rPr>
        <sz val="10"/>
        <rFont val="Arial Narrow"/>
        <family val="2"/>
      </rPr>
      <t>(</t>
    </r>
    <r>
      <rPr>
        <sz val="10"/>
        <rFont val="華康粗圓體"/>
        <family val="3"/>
        <charset val="136"/>
      </rPr>
      <t>省、新北、臺中、臺南</t>
    </r>
    <r>
      <rPr>
        <sz val="10"/>
        <rFont val="Arial Narrow"/>
        <family val="2"/>
      </rPr>
      <t>)</t>
    </r>
    <r>
      <rPr>
        <sz val="10"/>
        <rFont val="華康粗圓體"/>
        <family val="3"/>
        <charset val="136"/>
      </rPr>
      <t>、第</t>
    </r>
    <r>
      <rPr>
        <sz val="10"/>
        <rFont val="Arial Narrow"/>
        <family val="2"/>
      </rPr>
      <t>0,1</t>
    </r>
    <r>
      <rPr>
        <sz val="10"/>
        <rFont val="華康粗圓體"/>
        <family val="3"/>
        <charset val="136"/>
      </rPr>
      <t>類</t>
    </r>
    <r>
      <rPr>
        <sz val="10"/>
        <rFont val="Arial Narrow"/>
        <family val="2"/>
      </rPr>
      <t>(</t>
    </r>
    <r>
      <rPr>
        <sz val="10"/>
        <rFont val="華康粗圓體"/>
        <family val="3"/>
        <charset val="136"/>
      </rPr>
      <t>臺北</t>
    </r>
    <r>
      <rPr>
        <sz val="10"/>
        <rFont val="Arial Narrow"/>
        <family val="2"/>
      </rPr>
      <t>)</t>
    </r>
    <r>
      <rPr>
        <sz val="10"/>
        <rFont val="華康粗圓體"/>
        <family val="3"/>
        <charset val="136"/>
      </rPr>
      <t>、第</t>
    </r>
    <r>
      <rPr>
        <sz val="10"/>
        <rFont val="Arial Narrow"/>
        <family val="2"/>
      </rPr>
      <t>1</t>
    </r>
    <r>
      <rPr>
        <sz val="10"/>
        <rFont val="華康粗圓體"/>
        <family val="3"/>
        <charset val="136"/>
      </rPr>
      <t>類</t>
    </r>
    <r>
      <rPr>
        <sz val="10"/>
        <rFont val="Arial Narrow"/>
        <family val="2"/>
      </rPr>
      <t>(</t>
    </r>
    <r>
      <rPr>
        <sz val="10"/>
        <rFont val="華康粗圓體"/>
        <family val="3"/>
        <charset val="136"/>
      </rPr>
      <t>高雄</t>
    </r>
    <r>
      <rPr>
        <sz val="10"/>
        <rFont val="Arial Narrow"/>
        <family val="2"/>
      </rPr>
      <t>) Class 1</t>
    </r>
    <phoneticPr fontId="6" type="noConversion"/>
  </si>
  <si>
    <r>
      <rPr>
        <sz val="10"/>
        <rFont val="華康粗圓體"/>
        <family val="3"/>
        <charset val="136"/>
      </rPr>
      <t>第</t>
    </r>
    <r>
      <rPr>
        <sz val="10"/>
        <rFont val="Arial Narrow"/>
        <family val="2"/>
      </rPr>
      <t>2</t>
    </r>
    <r>
      <rPr>
        <sz val="10"/>
        <rFont val="華康粗圓體"/>
        <family val="3"/>
        <charset val="136"/>
      </rPr>
      <t>款</t>
    </r>
    <r>
      <rPr>
        <sz val="10"/>
        <rFont val="Arial Narrow"/>
        <family val="2"/>
      </rPr>
      <t>(</t>
    </r>
    <r>
      <rPr>
        <sz val="10"/>
        <rFont val="華康粗圓體"/>
        <family val="3"/>
        <charset val="136"/>
      </rPr>
      <t>省、新北、臺中、臺南</t>
    </r>
    <r>
      <rPr>
        <sz val="10"/>
        <rFont val="Arial Narrow"/>
        <family val="2"/>
      </rPr>
      <t>)</t>
    </r>
    <r>
      <rPr>
        <sz val="10"/>
        <rFont val="華康粗圓體"/>
        <family val="3"/>
        <charset val="136"/>
      </rPr>
      <t>、第</t>
    </r>
    <r>
      <rPr>
        <sz val="10"/>
        <rFont val="Arial Narrow"/>
        <family val="2"/>
      </rPr>
      <t>2</t>
    </r>
    <r>
      <rPr>
        <sz val="10"/>
        <rFont val="華康粗圓體"/>
        <family val="3"/>
        <charset val="136"/>
      </rPr>
      <t>類</t>
    </r>
    <r>
      <rPr>
        <sz val="10"/>
        <rFont val="Arial Narrow"/>
        <family val="2"/>
      </rPr>
      <t>(</t>
    </r>
    <r>
      <rPr>
        <sz val="10"/>
        <rFont val="華康粗圓體"/>
        <family val="3"/>
        <charset val="136"/>
      </rPr>
      <t>臺北</t>
    </r>
    <r>
      <rPr>
        <sz val="10"/>
        <rFont val="Arial Narrow"/>
        <family val="2"/>
      </rPr>
      <t>)</t>
    </r>
    <r>
      <rPr>
        <sz val="10"/>
        <rFont val="華康粗圓體"/>
        <family val="3"/>
        <charset val="136"/>
      </rPr>
      <t>、第</t>
    </r>
    <r>
      <rPr>
        <sz val="10"/>
        <rFont val="Arial Narrow"/>
        <family val="2"/>
      </rPr>
      <t>2</t>
    </r>
    <r>
      <rPr>
        <sz val="10"/>
        <rFont val="華康粗圓體"/>
        <family val="3"/>
        <charset val="136"/>
      </rPr>
      <t>類</t>
    </r>
    <r>
      <rPr>
        <sz val="10"/>
        <rFont val="Arial Narrow"/>
        <family val="2"/>
      </rPr>
      <t>(</t>
    </r>
    <r>
      <rPr>
        <sz val="10"/>
        <rFont val="華康粗圓體"/>
        <family val="3"/>
        <charset val="136"/>
      </rPr>
      <t>高雄</t>
    </r>
    <r>
      <rPr>
        <sz val="10"/>
        <rFont val="Arial Narrow"/>
        <family val="2"/>
      </rPr>
      <t>) Class 2</t>
    </r>
    <phoneticPr fontId="6" type="noConversion"/>
  </si>
  <si>
    <r>
      <rPr>
        <sz val="10"/>
        <rFont val="華康粗圓體"/>
        <family val="3"/>
        <charset val="136"/>
      </rPr>
      <t>第二、三款、類</t>
    </r>
    <r>
      <rPr>
        <sz val="10"/>
        <rFont val="Arial Narrow"/>
        <family val="2"/>
      </rPr>
      <t>(</t>
    </r>
    <r>
      <rPr>
        <sz val="10"/>
        <rFont val="華康粗圓體"/>
        <family val="3"/>
        <charset val="136"/>
      </rPr>
      <t>北市、高雄</t>
    </r>
    <r>
      <rPr>
        <sz val="10"/>
        <rFont val="Arial Narrow"/>
        <family val="2"/>
      </rPr>
      <t>2,3,4</t>
    </r>
    <r>
      <rPr>
        <sz val="10"/>
        <rFont val="華康粗圓體"/>
        <family val="3"/>
        <charset val="136"/>
      </rPr>
      <t>類</t>
    </r>
    <r>
      <rPr>
        <sz val="10"/>
        <rFont val="Arial Narrow"/>
        <family val="2"/>
      </rPr>
      <t>)</t>
    </r>
    <r>
      <rPr>
        <sz val="10"/>
        <rFont val="華康粗圓體"/>
        <family val="3"/>
        <charset val="136"/>
      </rPr>
      <t>兒童生活扶助</t>
    </r>
    <r>
      <rPr>
        <sz val="10"/>
        <rFont val="Arial Narrow"/>
        <family val="2"/>
      </rPr>
      <t>(</t>
    </r>
    <r>
      <rPr>
        <sz val="10"/>
        <rFont val="華康粗圓體"/>
        <family val="3"/>
        <charset val="136"/>
      </rPr>
      <t>按人</t>
    </r>
    <r>
      <rPr>
        <sz val="10"/>
        <rFont val="Arial Narrow"/>
        <family val="2"/>
      </rPr>
      <t>)  Class 2,3</t>
    </r>
    <phoneticPr fontId="6" type="noConversion"/>
  </si>
  <si>
    <r>
      <rPr>
        <sz val="10"/>
        <rFont val="華康粗圓體"/>
        <family val="3"/>
        <charset val="136"/>
      </rPr>
      <t>占全市總戶數比率</t>
    </r>
    <r>
      <rPr>
        <sz val="10"/>
        <rFont val="Arial Narrow"/>
        <family val="2"/>
      </rPr>
      <t xml:space="preserve"> (%)</t>
    </r>
    <phoneticPr fontId="4" type="noConversion"/>
  </si>
  <si>
    <r>
      <rPr>
        <sz val="10"/>
        <rFont val="華康粗圓體"/>
        <family val="3"/>
        <charset val="136"/>
      </rPr>
      <t>占全市總人口比率</t>
    </r>
    <r>
      <rPr>
        <sz val="10"/>
        <rFont val="Arial Narrow"/>
        <family val="2"/>
      </rPr>
      <t xml:space="preserve"> (%)</t>
    </r>
    <phoneticPr fontId="4" type="noConversion"/>
  </si>
  <si>
    <r>
      <rPr>
        <sz val="10"/>
        <rFont val="華康粗圓體"/>
        <family val="3"/>
        <charset val="136"/>
      </rPr>
      <t>人次</t>
    </r>
    <r>
      <rPr>
        <sz val="10"/>
        <rFont val="Arial Narrow"/>
        <family val="2"/>
      </rPr>
      <t>(</t>
    </r>
    <r>
      <rPr>
        <sz val="10"/>
        <rFont val="華康粗圓體"/>
        <family val="3"/>
        <charset val="136"/>
      </rPr>
      <t>月</t>
    </r>
    <r>
      <rPr>
        <sz val="10"/>
        <rFont val="Arial Narrow"/>
        <family val="2"/>
      </rPr>
      <t>)</t>
    </r>
    <phoneticPr fontId="6" type="noConversion"/>
  </si>
  <si>
    <r>
      <rPr>
        <sz val="10"/>
        <rFont val="華康粗圓體"/>
        <family val="3"/>
        <charset val="136"/>
      </rPr>
      <t>金額</t>
    </r>
    <r>
      <rPr>
        <sz val="10"/>
        <rFont val="Arial Narrow"/>
        <family val="2"/>
      </rPr>
      <t>(</t>
    </r>
    <r>
      <rPr>
        <sz val="10"/>
        <rFont val="華康粗圓體"/>
        <family val="3"/>
        <charset val="136"/>
      </rPr>
      <t>元</t>
    </r>
    <r>
      <rPr>
        <sz val="10"/>
        <rFont val="Arial Narrow"/>
        <family val="2"/>
      </rPr>
      <t>)</t>
    </r>
    <phoneticPr fontId="6" type="noConversion"/>
  </si>
  <si>
    <r>
      <rPr>
        <sz val="10"/>
        <rFont val="華康粗圓體"/>
        <family val="3"/>
        <charset val="136"/>
      </rPr>
      <t>戶次</t>
    </r>
    <r>
      <rPr>
        <sz val="10"/>
        <rFont val="Arial Narrow"/>
        <family val="2"/>
      </rPr>
      <t>(</t>
    </r>
    <r>
      <rPr>
        <sz val="10"/>
        <rFont val="華康粗圓體"/>
        <family val="3"/>
        <charset val="136"/>
      </rPr>
      <t>月</t>
    </r>
    <r>
      <rPr>
        <sz val="10"/>
        <rFont val="Arial Narrow"/>
        <family val="2"/>
      </rPr>
      <t>)</t>
    </r>
    <phoneticPr fontId="6" type="noConversion"/>
  </si>
  <si>
    <r>
      <rPr>
        <sz val="10"/>
        <rFont val="華康粗圓體"/>
        <family val="3"/>
        <charset val="136"/>
      </rPr>
      <t>身心障礙福利機構</t>
    </r>
    <r>
      <rPr>
        <sz val="10"/>
        <rFont val="Arial Narrow"/>
        <family val="2"/>
      </rPr>
      <t xml:space="preserve"> (</t>
    </r>
    <r>
      <rPr>
        <sz val="10"/>
        <rFont val="華康粗圓體"/>
        <family val="3"/>
        <charset val="136"/>
      </rPr>
      <t>年底</t>
    </r>
    <r>
      <rPr>
        <sz val="10"/>
        <rFont val="Arial Narrow"/>
        <family val="2"/>
      </rPr>
      <t>)</t>
    </r>
    <phoneticPr fontId="6" type="noConversion"/>
  </si>
  <si>
    <r>
      <rPr>
        <sz val="10"/>
        <rFont val="華康粗圓體"/>
        <family val="3"/>
        <charset val="136"/>
      </rPr>
      <t>輔助器具補助</t>
    </r>
    <phoneticPr fontId="6" type="noConversion"/>
  </si>
  <si>
    <r>
      <rPr>
        <sz val="10"/>
        <rFont val="華康粗圓體"/>
        <family val="3"/>
        <charset val="136"/>
      </rPr>
      <t>實際安置人數</t>
    </r>
    <phoneticPr fontId="6" type="noConversion"/>
  </si>
  <si>
    <r>
      <rPr>
        <sz val="10"/>
        <rFont val="華康粗圓體"/>
        <family val="3"/>
        <charset val="136"/>
      </rPr>
      <t>年底及
區別</t>
    </r>
    <phoneticPr fontId="4" type="noConversion"/>
  </si>
  <si>
    <r>
      <rPr>
        <sz val="10"/>
        <rFont val="華康粗圓體"/>
        <family val="3"/>
        <charset val="136"/>
      </rPr>
      <t>眼、耳及相關構造與感官功能及疼痛</t>
    </r>
    <phoneticPr fontId="4" type="noConversion"/>
  </si>
  <si>
    <r>
      <rPr>
        <sz val="10"/>
        <rFont val="華康粗圓體"/>
        <family val="3"/>
        <charset val="136"/>
      </rPr>
      <t>皮膚與相關
構造及其功能</t>
    </r>
    <phoneticPr fontId="6" type="noConversion"/>
  </si>
  <si>
    <r>
      <rPr>
        <sz val="10"/>
        <rFont val="華康粗圓體"/>
        <family val="3"/>
        <charset val="136"/>
      </rPr>
      <t>舊制轉換新制
暫無法歸類者</t>
    </r>
    <phoneticPr fontId="6" type="noConversion"/>
  </si>
  <si>
    <r>
      <rPr>
        <sz val="10"/>
        <rFont val="華康粗圓體"/>
        <family val="3"/>
        <charset val="136"/>
      </rPr>
      <t>　桃園區</t>
    </r>
    <r>
      <rPr>
        <sz val="10"/>
        <rFont val="Arial Narrow"/>
        <family val="2"/>
      </rPr>
      <t xml:space="preserve"> Taoyuan District</t>
    </r>
    <phoneticPr fontId="6" type="noConversion"/>
  </si>
  <si>
    <r>
      <rPr>
        <sz val="10"/>
        <rFont val="華康粗圓體"/>
        <family val="3"/>
        <charset val="136"/>
      </rPr>
      <t>　中壢區</t>
    </r>
    <r>
      <rPr>
        <sz val="10"/>
        <rFont val="Arial Narrow"/>
        <family val="2"/>
      </rPr>
      <t xml:space="preserve"> Zhongli District</t>
    </r>
    <phoneticPr fontId="6" type="noConversion"/>
  </si>
  <si>
    <r>
      <rPr>
        <sz val="10"/>
        <rFont val="華康粗圓體"/>
        <family val="3"/>
        <charset val="136"/>
      </rPr>
      <t>　大溪區</t>
    </r>
    <r>
      <rPr>
        <sz val="10"/>
        <rFont val="Arial Narrow"/>
        <family val="2"/>
      </rPr>
      <t xml:space="preserve"> Daxi District</t>
    </r>
    <phoneticPr fontId="6" type="noConversion"/>
  </si>
  <si>
    <r>
      <rPr>
        <sz val="10"/>
        <rFont val="華康粗圓體"/>
        <family val="3"/>
        <charset val="136"/>
      </rPr>
      <t>　楊梅區</t>
    </r>
    <r>
      <rPr>
        <sz val="10"/>
        <rFont val="Arial Narrow"/>
        <family val="2"/>
      </rPr>
      <t xml:space="preserve"> Yangmei District</t>
    </r>
    <phoneticPr fontId="6" type="noConversion"/>
  </si>
  <si>
    <r>
      <rPr>
        <sz val="10"/>
        <rFont val="華康粗圓體"/>
        <family val="3"/>
        <charset val="136"/>
      </rPr>
      <t>　蘆竹區</t>
    </r>
    <r>
      <rPr>
        <sz val="10"/>
        <rFont val="Arial Narrow"/>
        <family val="2"/>
      </rPr>
      <t xml:space="preserve"> Luzhu District</t>
    </r>
    <phoneticPr fontId="6" type="noConversion"/>
  </si>
  <si>
    <r>
      <rPr>
        <sz val="10"/>
        <rFont val="華康粗圓體"/>
        <family val="3"/>
        <charset val="136"/>
      </rPr>
      <t>　大園區</t>
    </r>
    <r>
      <rPr>
        <sz val="10"/>
        <rFont val="Arial Narrow"/>
        <family val="2"/>
      </rPr>
      <t xml:space="preserve"> Dayuan District</t>
    </r>
    <phoneticPr fontId="6" type="noConversion"/>
  </si>
  <si>
    <r>
      <rPr>
        <sz val="10"/>
        <rFont val="華康粗圓體"/>
        <family val="3"/>
        <charset val="136"/>
      </rPr>
      <t>　龜山區</t>
    </r>
    <r>
      <rPr>
        <sz val="10"/>
        <rFont val="Arial Narrow"/>
        <family val="2"/>
      </rPr>
      <t xml:space="preserve"> Guishan District</t>
    </r>
    <phoneticPr fontId="6" type="noConversion"/>
  </si>
  <si>
    <r>
      <rPr>
        <sz val="10"/>
        <rFont val="華康粗圓體"/>
        <family val="3"/>
        <charset val="136"/>
      </rPr>
      <t>　八德區</t>
    </r>
    <r>
      <rPr>
        <sz val="10"/>
        <rFont val="Arial Narrow"/>
        <family val="2"/>
      </rPr>
      <t xml:space="preserve"> Bade District</t>
    </r>
    <phoneticPr fontId="6" type="noConversion"/>
  </si>
  <si>
    <r>
      <rPr>
        <sz val="10"/>
        <rFont val="華康粗圓體"/>
        <family val="3"/>
        <charset val="136"/>
      </rPr>
      <t>　龍潭區</t>
    </r>
    <r>
      <rPr>
        <sz val="10"/>
        <rFont val="Arial Narrow"/>
        <family val="2"/>
      </rPr>
      <t xml:space="preserve"> Longtan District</t>
    </r>
    <phoneticPr fontId="6" type="noConversion"/>
  </si>
  <si>
    <r>
      <rPr>
        <sz val="10"/>
        <rFont val="華康粗圓體"/>
        <family val="3"/>
        <charset val="136"/>
      </rPr>
      <t>　平鎮區</t>
    </r>
    <r>
      <rPr>
        <sz val="10"/>
        <rFont val="Arial Narrow"/>
        <family val="2"/>
      </rPr>
      <t xml:space="preserve"> Pingzhen District</t>
    </r>
    <phoneticPr fontId="6" type="noConversion"/>
  </si>
  <si>
    <r>
      <rPr>
        <sz val="10"/>
        <rFont val="華康粗圓體"/>
        <family val="3"/>
        <charset val="136"/>
      </rPr>
      <t>　新屋區</t>
    </r>
    <r>
      <rPr>
        <sz val="10"/>
        <rFont val="Arial Narrow"/>
        <family val="2"/>
      </rPr>
      <t xml:space="preserve"> Xinwu District</t>
    </r>
    <phoneticPr fontId="6" type="noConversion"/>
  </si>
  <si>
    <r>
      <rPr>
        <sz val="10"/>
        <rFont val="華康粗圓體"/>
        <family val="3"/>
        <charset val="136"/>
      </rPr>
      <t>　觀音區</t>
    </r>
    <r>
      <rPr>
        <sz val="10"/>
        <rFont val="Arial Narrow"/>
        <family val="2"/>
      </rPr>
      <t xml:space="preserve"> Guanyin District</t>
    </r>
    <phoneticPr fontId="6" type="noConversion"/>
  </si>
  <si>
    <r>
      <rPr>
        <sz val="10"/>
        <rFont val="華康粗圓體"/>
        <family val="3"/>
        <charset val="136"/>
      </rPr>
      <t>　復興區</t>
    </r>
    <r>
      <rPr>
        <sz val="10"/>
        <rFont val="Arial Narrow"/>
        <family val="2"/>
      </rPr>
      <t xml:space="preserve"> Fuxing District</t>
    </r>
    <phoneticPr fontId="6" type="noConversion"/>
  </si>
  <si>
    <r>
      <rPr>
        <sz val="10"/>
        <rFont val="華康粗圓體"/>
        <family val="3"/>
        <charset val="136"/>
      </rPr>
      <t>領有舊制身心障礙手冊者</t>
    </r>
    <phoneticPr fontId="6" type="noConversion"/>
  </si>
  <si>
    <r>
      <rPr>
        <sz val="10"/>
        <rFont val="華康粗圓體"/>
        <family val="3"/>
        <charset val="136"/>
      </rPr>
      <t>顏面損傷者</t>
    </r>
    <phoneticPr fontId="4" type="noConversion"/>
  </si>
  <si>
    <r>
      <rPr>
        <sz val="10"/>
        <rFont val="華康粗圓體"/>
        <family val="3"/>
        <charset val="136"/>
      </rPr>
      <t>植物人</t>
    </r>
    <phoneticPr fontId="4" type="noConversion"/>
  </si>
  <si>
    <r>
      <rPr>
        <sz val="10"/>
        <rFont val="華康粗圓體"/>
        <family val="3"/>
        <charset val="136"/>
      </rPr>
      <t>多重障礙者</t>
    </r>
    <phoneticPr fontId="4" type="noConversion"/>
  </si>
  <si>
    <r>
      <rPr>
        <sz val="10"/>
        <rFont val="華康粗圓體"/>
        <family val="3"/>
        <charset val="136"/>
      </rPr>
      <t>頑性（難治型）
癲癇症者</t>
    </r>
    <phoneticPr fontId="6" type="noConversion"/>
  </si>
  <si>
    <r>
      <rPr>
        <sz val="10"/>
        <rFont val="華康粗圓體"/>
        <family val="3"/>
        <charset val="136"/>
      </rPr>
      <t>視覺
障礙者</t>
    </r>
    <phoneticPr fontId="4" type="noConversion"/>
  </si>
  <si>
    <r>
      <rPr>
        <sz val="10"/>
        <rFont val="華康粗圓體"/>
        <family val="3"/>
        <charset val="136"/>
      </rPr>
      <t>聽覺機能
障礙者</t>
    </r>
    <phoneticPr fontId="4" type="noConversion"/>
  </si>
  <si>
    <r>
      <rPr>
        <sz val="10"/>
        <rFont val="華康粗圓體"/>
        <family val="3"/>
        <charset val="136"/>
      </rPr>
      <t>平衡機能
障礙者</t>
    </r>
    <phoneticPr fontId="6" type="noConversion"/>
  </si>
  <si>
    <r>
      <rPr>
        <sz val="10"/>
        <rFont val="華康粗圓體"/>
        <family val="3"/>
        <charset val="136"/>
      </rPr>
      <t>聲音機能或語
言機能障礙者</t>
    </r>
    <phoneticPr fontId="4" type="noConversion"/>
  </si>
  <si>
    <r>
      <rPr>
        <sz val="10"/>
        <rFont val="華康粗圓體"/>
        <family val="3"/>
        <charset val="136"/>
      </rPr>
      <t>肢體
障礙者</t>
    </r>
    <phoneticPr fontId="4" type="noConversion"/>
  </si>
  <si>
    <r>
      <rPr>
        <sz val="10"/>
        <rFont val="華康粗圓體"/>
        <family val="3"/>
        <charset val="136"/>
      </rPr>
      <t>智能
障礙者</t>
    </r>
    <phoneticPr fontId="4" type="noConversion"/>
  </si>
  <si>
    <r>
      <rPr>
        <sz val="10"/>
        <rFont val="華康粗圓體"/>
        <family val="3"/>
        <charset val="136"/>
      </rPr>
      <t>重要器官
失去功能者</t>
    </r>
    <phoneticPr fontId="4" type="noConversion"/>
  </si>
  <si>
    <r>
      <rPr>
        <sz val="10"/>
        <rFont val="華康粗圓體"/>
        <family val="3"/>
        <charset val="136"/>
      </rPr>
      <t>年底及類別</t>
    </r>
    <phoneticPr fontId="4" type="noConversion"/>
  </si>
  <si>
    <r>
      <rPr>
        <sz val="10"/>
        <rFont val="華康粗圓體"/>
        <family val="3"/>
        <charset val="136"/>
      </rPr>
      <t>總計　</t>
    </r>
    <r>
      <rPr>
        <sz val="10"/>
        <rFont val="Arial Narrow"/>
        <family val="2"/>
      </rPr>
      <t>Grand Total</t>
    </r>
    <phoneticPr fontId="4" type="noConversion"/>
  </si>
  <si>
    <r>
      <rPr>
        <sz val="10"/>
        <rFont val="華康粗圓體"/>
        <family val="3"/>
        <charset val="136"/>
      </rPr>
      <t xml:space="preserve">社數
</t>
    </r>
    <r>
      <rPr>
        <sz val="10"/>
        <rFont val="Arial Narrow"/>
        <family val="2"/>
      </rPr>
      <t>(</t>
    </r>
    <r>
      <rPr>
        <sz val="10"/>
        <rFont val="華康粗圓體"/>
        <family val="3"/>
        <charset val="136"/>
      </rPr>
      <t>個</t>
    </r>
    <r>
      <rPr>
        <sz val="10"/>
        <rFont val="Arial Narrow"/>
        <family val="2"/>
      </rPr>
      <t>)
No. of
Cooperatives
(Units)</t>
    </r>
    <phoneticPr fontId="4" type="noConversion"/>
  </si>
  <si>
    <r>
      <rPr>
        <sz val="10"/>
        <rFont val="華康粗圓體"/>
        <family val="3"/>
        <charset val="136"/>
      </rPr>
      <t>社場員數</t>
    </r>
    <r>
      <rPr>
        <sz val="10"/>
        <rFont val="Arial Narrow"/>
        <family val="2"/>
      </rPr>
      <t xml:space="preserve"> (</t>
    </r>
    <r>
      <rPr>
        <sz val="10"/>
        <rFont val="華康粗圓體"/>
        <family val="3"/>
        <charset val="136"/>
      </rPr>
      <t>人</t>
    </r>
    <r>
      <rPr>
        <sz val="10"/>
        <rFont val="Arial Narrow"/>
        <family val="2"/>
      </rPr>
      <t>)</t>
    </r>
    <phoneticPr fontId="4" type="noConversion"/>
  </si>
  <si>
    <r>
      <rPr>
        <sz val="10"/>
        <rFont val="華康粗圓體"/>
        <family val="3"/>
        <charset val="136"/>
      </rPr>
      <t xml:space="preserve">股金總額
</t>
    </r>
    <r>
      <rPr>
        <sz val="10"/>
        <rFont val="Arial Narrow"/>
        <family val="2"/>
      </rPr>
      <t>(</t>
    </r>
    <r>
      <rPr>
        <sz val="10"/>
        <rFont val="華康粗圓體"/>
        <family val="3"/>
        <charset val="136"/>
      </rPr>
      <t>元</t>
    </r>
    <r>
      <rPr>
        <sz val="10"/>
        <rFont val="Arial Narrow"/>
        <family val="2"/>
      </rPr>
      <t>)
Capital
(NT$)</t>
    </r>
    <phoneticPr fontId="4" type="noConversion"/>
  </si>
  <si>
    <r>
      <rPr>
        <sz val="10"/>
        <rFont val="華康粗圓體"/>
        <family val="3"/>
        <charset val="136"/>
      </rPr>
      <t xml:space="preserve">社數
</t>
    </r>
    <r>
      <rPr>
        <sz val="10"/>
        <rFont val="Arial Narrow"/>
        <family val="2"/>
      </rPr>
      <t>(</t>
    </r>
    <r>
      <rPr>
        <sz val="10"/>
        <rFont val="華康粗圓體"/>
        <family val="3"/>
        <charset val="136"/>
      </rPr>
      <t>個</t>
    </r>
    <r>
      <rPr>
        <sz val="10"/>
        <rFont val="Arial Narrow"/>
        <family val="2"/>
      </rPr>
      <t>)
No. of Cooperatives
(Units)</t>
    </r>
    <phoneticPr fontId="4" type="noConversion"/>
  </si>
  <si>
    <r>
      <rPr>
        <sz val="10"/>
        <rFont val="華康粗圓體"/>
        <family val="3"/>
        <charset val="136"/>
      </rPr>
      <t xml:space="preserve">法人社員
</t>
    </r>
    <r>
      <rPr>
        <sz val="10"/>
        <rFont val="Arial Narrow"/>
        <family val="2"/>
      </rPr>
      <t>(</t>
    </r>
    <r>
      <rPr>
        <sz val="10"/>
        <rFont val="華康粗圓體"/>
        <family val="3"/>
        <charset val="136"/>
      </rPr>
      <t>人</t>
    </r>
    <r>
      <rPr>
        <sz val="10"/>
        <rFont val="Arial Narrow"/>
        <family val="2"/>
      </rPr>
      <t>)
Members in Law
(Persons)</t>
    </r>
    <phoneticPr fontId="4" type="noConversion"/>
  </si>
  <si>
    <r>
      <rPr>
        <sz val="10"/>
        <rFont val="華康粗圓體"/>
        <family val="3"/>
        <charset val="136"/>
      </rPr>
      <t>法人社員</t>
    </r>
    <phoneticPr fontId="4" type="noConversion"/>
  </si>
  <si>
    <r>
      <rPr>
        <sz val="10"/>
        <rFont val="華康粗圓體"/>
        <family val="3"/>
        <charset val="136"/>
      </rPr>
      <t>甲、專營合作社</t>
    </r>
    <phoneticPr fontId="4" type="noConversion"/>
  </si>
  <si>
    <r>
      <rPr>
        <sz val="10"/>
        <rFont val="華康粗圓體"/>
        <family val="3"/>
        <charset val="136"/>
      </rPr>
      <t>一、農業合作社</t>
    </r>
    <phoneticPr fontId="4" type="noConversion"/>
  </si>
  <si>
    <r>
      <rPr>
        <sz val="10"/>
        <rFont val="華康粗圓體"/>
        <family val="3"/>
        <charset val="136"/>
      </rPr>
      <t>農業生產</t>
    </r>
    <phoneticPr fontId="4" type="noConversion"/>
  </si>
  <si>
    <r>
      <rPr>
        <sz val="10"/>
        <rFont val="華康粗圓體"/>
        <family val="3"/>
        <charset val="136"/>
      </rPr>
      <t>工業供給</t>
    </r>
    <phoneticPr fontId="4" type="noConversion"/>
  </si>
  <si>
    <r>
      <rPr>
        <sz val="10"/>
        <rFont val="華康粗圓體"/>
        <family val="3"/>
        <charset val="136"/>
      </rPr>
      <t>工業勞動</t>
    </r>
    <phoneticPr fontId="4" type="noConversion"/>
  </si>
  <si>
    <r>
      <rPr>
        <sz val="10"/>
        <rFont val="華康粗圓體"/>
        <family val="3"/>
        <charset val="136"/>
      </rPr>
      <t>工業運輸</t>
    </r>
    <phoneticPr fontId="4" type="noConversion"/>
  </si>
  <si>
    <r>
      <rPr>
        <sz val="10"/>
        <rFont val="華康粗圓體"/>
        <family val="3"/>
        <charset val="136"/>
      </rPr>
      <t>三、消費合作社</t>
    </r>
    <phoneticPr fontId="4" type="noConversion"/>
  </si>
  <si>
    <r>
      <rPr>
        <sz val="10"/>
        <rFont val="華康粗圓體"/>
        <family val="3"/>
        <charset val="136"/>
      </rPr>
      <t>地　　區</t>
    </r>
    <phoneticPr fontId="4" type="noConversion"/>
  </si>
  <si>
    <r>
      <rPr>
        <sz val="10"/>
        <rFont val="華康粗圓體"/>
        <family val="3"/>
        <charset val="136"/>
      </rPr>
      <t>人民團體</t>
    </r>
    <phoneticPr fontId="4" type="noConversion"/>
  </si>
  <si>
    <r>
      <rPr>
        <sz val="10"/>
        <rFont val="華康粗圓體"/>
        <family val="3"/>
        <charset val="136"/>
      </rPr>
      <t>機　　關</t>
    </r>
    <phoneticPr fontId="4" type="noConversion"/>
  </si>
  <si>
    <r>
      <rPr>
        <sz val="10"/>
        <rFont val="華康粗圓體"/>
        <family val="3"/>
        <charset val="136"/>
      </rPr>
      <t>學　　校</t>
    </r>
    <phoneticPr fontId="4" type="noConversion"/>
  </si>
  <si>
    <r>
      <rPr>
        <sz val="10"/>
        <rFont val="華康粗圓體"/>
        <family val="3"/>
        <charset val="136"/>
      </rPr>
      <t>五、保險</t>
    </r>
    <phoneticPr fontId="4" type="noConversion"/>
  </si>
  <si>
    <r>
      <rPr>
        <sz val="10"/>
        <rFont val="華康粗圓體"/>
        <family val="3"/>
        <charset val="136"/>
      </rPr>
      <t>文教機構</t>
    </r>
    <r>
      <rPr>
        <sz val="9"/>
        <rFont val="Times New Roman"/>
        <family val="1"/>
      </rPr>
      <t/>
    </r>
    <phoneticPr fontId="4" type="noConversion"/>
  </si>
  <si>
    <r>
      <rPr>
        <sz val="10"/>
        <rFont val="華康粗圓體"/>
        <family val="3"/>
        <charset val="136"/>
      </rPr>
      <t>公益慈善事業</t>
    </r>
    <phoneticPr fontId="4" type="noConversion"/>
  </si>
  <si>
    <r>
      <rPr>
        <sz val="10"/>
        <rFont val="華康粗圓體"/>
        <family val="3"/>
        <charset val="136"/>
      </rPr>
      <t>大學</t>
    </r>
  </si>
  <si>
    <r>
      <rPr>
        <sz val="10"/>
        <rFont val="華康粗圓體"/>
        <family val="3"/>
        <charset val="136"/>
      </rPr>
      <t>專科學校</t>
    </r>
  </si>
  <si>
    <r>
      <rPr>
        <sz val="10"/>
        <rFont val="華康粗圓體"/>
        <family val="3"/>
        <charset val="136"/>
      </rPr>
      <t>職校</t>
    </r>
  </si>
  <si>
    <r>
      <rPr>
        <sz val="10"/>
        <rFont val="華康粗圓體"/>
        <family val="3"/>
        <charset val="136"/>
      </rPr>
      <t>中學</t>
    </r>
  </si>
  <si>
    <r>
      <rPr>
        <sz val="10"/>
        <rFont val="華康粗圓體"/>
        <family val="3"/>
        <charset val="136"/>
      </rPr>
      <t>小學</t>
    </r>
  </si>
  <si>
    <r>
      <rPr>
        <sz val="10"/>
        <rFont val="華康粗圓體"/>
        <family val="3"/>
        <charset val="136"/>
      </rPr>
      <t>幼兒園</t>
    </r>
    <phoneticPr fontId="6" type="noConversion"/>
  </si>
  <si>
    <r>
      <rPr>
        <sz val="10"/>
        <rFont val="華康粗圓體"/>
        <family val="3"/>
        <charset val="136"/>
      </rPr>
      <t>養老院</t>
    </r>
  </si>
  <si>
    <r>
      <rPr>
        <sz val="10"/>
        <rFont val="華康粗圓體"/>
        <family val="3"/>
        <charset val="136"/>
      </rPr>
      <t>民國</t>
    </r>
    <r>
      <rPr>
        <sz val="10"/>
        <rFont val="Arial Narrow"/>
        <family val="2"/>
      </rPr>
      <t>99</t>
    </r>
    <r>
      <rPr>
        <sz val="10"/>
        <rFont val="華康粗圓體"/>
        <family val="3"/>
        <charset val="136"/>
      </rPr>
      <t>年底</t>
    </r>
  </si>
  <si>
    <r>
      <rPr>
        <sz val="10"/>
        <rFont val="華康粗圓體"/>
        <family val="3"/>
        <charset val="136"/>
      </rPr>
      <t>民國</t>
    </r>
    <r>
      <rPr>
        <sz val="10"/>
        <rFont val="Arial Narrow"/>
        <family val="2"/>
      </rPr>
      <t>100</t>
    </r>
    <r>
      <rPr>
        <sz val="10"/>
        <rFont val="華康粗圓體"/>
        <family val="3"/>
        <charset val="136"/>
      </rPr>
      <t>年底</t>
    </r>
  </si>
  <si>
    <r>
      <rPr>
        <sz val="10"/>
        <rFont val="華康粗圓體"/>
        <family val="3"/>
        <charset val="136"/>
      </rPr>
      <t>民國</t>
    </r>
    <r>
      <rPr>
        <sz val="10"/>
        <rFont val="Arial Narrow"/>
        <family val="2"/>
      </rPr>
      <t>101</t>
    </r>
    <r>
      <rPr>
        <sz val="10"/>
        <rFont val="華康粗圓體"/>
        <family val="3"/>
        <charset val="136"/>
      </rPr>
      <t>年底</t>
    </r>
    <phoneticPr fontId="6" type="noConversion"/>
  </si>
  <si>
    <r>
      <rPr>
        <sz val="10"/>
        <rFont val="華康粗圓體"/>
        <family val="3"/>
        <charset val="136"/>
      </rPr>
      <t>民國</t>
    </r>
    <r>
      <rPr>
        <sz val="10"/>
        <rFont val="Arial Narrow"/>
        <family val="2"/>
      </rPr>
      <t>102</t>
    </r>
    <r>
      <rPr>
        <sz val="10"/>
        <rFont val="華康粗圓體"/>
        <family val="3"/>
        <charset val="136"/>
      </rPr>
      <t>年底</t>
    </r>
    <phoneticPr fontId="6" type="noConversion"/>
  </si>
  <si>
    <r>
      <rPr>
        <sz val="10"/>
        <rFont val="華康粗圓體"/>
        <family val="3"/>
        <charset val="136"/>
      </rPr>
      <t>民國</t>
    </r>
    <r>
      <rPr>
        <sz val="10"/>
        <rFont val="Arial Narrow"/>
        <family val="2"/>
      </rPr>
      <t>103</t>
    </r>
    <r>
      <rPr>
        <sz val="10"/>
        <rFont val="華康粗圓體"/>
        <family val="3"/>
        <charset val="136"/>
      </rPr>
      <t>年底</t>
    </r>
    <phoneticPr fontId="6" type="noConversion"/>
  </si>
  <si>
    <r>
      <rPr>
        <sz val="10"/>
        <rFont val="華康粗圓體"/>
        <family val="3"/>
        <charset val="136"/>
      </rPr>
      <t>醫院</t>
    </r>
    <phoneticPr fontId="4" type="noConversion"/>
  </si>
  <si>
    <r>
      <rPr>
        <sz val="10"/>
        <rFont val="華康粗圓體"/>
        <family val="3"/>
        <charset val="136"/>
      </rPr>
      <t>診所</t>
    </r>
    <phoneticPr fontId="4" type="noConversion"/>
  </si>
  <si>
    <r>
      <rPr>
        <sz val="10"/>
        <rFont val="華康粗圓體"/>
        <family val="3"/>
        <charset val="136"/>
      </rPr>
      <t>民國</t>
    </r>
    <r>
      <rPr>
        <sz val="10"/>
        <rFont val="Arial Narrow"/>
        <family val="2"/>
      </rPr>
      <t>98</t>
    </r>
    <r>
      <rPr>
        <sz val="10"/>
        <rFont val="華康粗圓體"/>
        <family val="3"/>
        <charset val="136"/>
      </rPr>
      <t>年底</t>
    </r>
    <phoneticPr fontId="6" type="noConversion"/>
  </si>
  <si>
    <r>
      <rPr>
        <sz val="10"/>
        <rFont val="華康粗圓體"/>
        <family val="3"/>
        <charset val="136"/>
      </rPr>
      <t>民國</t>
    </r>
    <r>
      <rPr>
        <sz val="10"/>
        <rFont val="Arial Narrow"/>
        <family val="2"/>
      </rPr>
      <t>100</t>
    </r>
    <r>
      <rPr>
        <sz val="10"/>
        <rFont val="華康粗圓體"/>
        <family val="3"/>
        <charset val="136"/>
      </rPr>
      <t>年底</t>
    </r>
    <phoneticPr fontId="6" type="noConversion"/>
  </si>
  <si>
    <r>
      <rPr>
        <sz val="10"/>
        <rFont val="華康粗圓體"/>
        <family val="3"/>
        <charset val="136"/>
      </rPr>
      <t>年底及宗教別</t>
    </r>
    <phoneticPr fontId="11" type="noConversion"/>
  </si>
  <si>
    <r>
      <rPr>
        <sz val="10"/>
        <rFont val="華康粗圓體"/>
        <family val="3"/>
        <charset val="136"/>
      </rPr>
      <t>寺廟教堂數（所）</t>
    </r>
    <phoneticPr fontId="6" type="noConversion"/>
  </si>
  <si>
    <r>
      <rPr>
        <sz val="10"/>
        <rFont val="華康粗圓體"/>
        <family val="3"/>
        <charset val="136"/>
      </rPr>
      <t>信徒人數（人）</t>
    </r>
    <phoneticPr fontId="6" type="noConversion"/>
  </si>
  <si>
    <r>
      <rPr>
        <sz val="10"/>
        <rFont val="華康粗圓體"/>
        <family val="3"/>
        <charset val="136"/>
      </rPr>
      <t>民國</t>
    </r>
    <r>
      <rPr>
        <sz val="10"/>
        <rFont val="Arial Narrow"/>
        <family val="2"/>
      </rPr>
      <t>99</t>
    </r>
    <r>
      <rPr>
        <sz val="10"/>
        <rFont val="華康粗圓體"/>
        <family val="3"/>
        <charset val="136"/>
      </rPr>
      <t>年底</t>
    </r>
    <phoneticPr fontId="6" type="noConversion"/>
  </si>
  <si>
    <r>
      <rPr>
        <sz val="10"/>
        <rFont val="華康粗圓體"/>
        <family val="3"/>
        <charset val="136"/>
      </rPr>
      <t>民國</t>
    </r>
    <r>
      <rPr>
        <sz val="10"/>
        <rFont val="Arial Narrow"/>
        <family val="2"/>
      </rPr>
      <t>104</t>
    </r>
    <r>
      <rPr>
        <sz val="10"/>
        <rFont val="華康粗圓體"/>
        <family val="3"/>
        <charset val="136"/>
      </rPr>
      <t>年底</t>
    </r>
    <phoneticPr fontId="6" type="noConversion"/>
  </si>
  <si>
    <r>
      <rPr>
        <b/>
        <sz val="10"/>
        <rFont val="華康粗圓體"/>
        <family val="3"/>
        <charset val="136"/>
      </rPr>
      <t>　寺廟</t>
    </r>
    <r>
      <rPr>
        <b/>
        <sz val="10"/>
        <rFont val="Arial Narrow"/>
        <family val="2"/>
      </rPr>
      <t xml:space="preserve"> Temples</t>
    </r>
    <phoneticPr fontId="6" type="noConversion"/>
  </si>
  <si>
    <r>
      <rPr>
        <sz val="10"/>
        <rFont val="華康粗圓體"/>
        <family val="3"/>
        <charset val="136"/>
      </rPr>
      <t>　　道　　教</t>
    </r>
    <phoneticPr fontId="6" type="noConversion"/>
  </si>
  <si>
    <r>
      <rPr>
        <sz val="10"/>
        <rFont val="華康粗圓體"/>
        <family val="3"/>
        <charset val="136"/>
      </rPr>
      <t>　　佛　　教</t>
    </r>
    <phoneticPr fontId="6" type="noConversion"/>
  </si>
  <si>
    <r>
      <rPr>
        <sz val="10"/>
        <rFont val="華康粗圓體"/>
        <family val="3"/>
        <charset val="136"/>
      </rPr>
      <t>　　一</t>
    </r>
    <r>
      <rPr>
        <sz val="10"/>
        <rFont val="Arial Narrow"/>
        <family val="2"/>
      </rPr>
      <t xml:space="preserve"> </t>
    </r>
    <r>
      <rPr>
        <sz val="10"/>
        <rFont val="華康粗圓體"/>
        <family val="3"/>
        <charset val="136"/>
      </rPr>
      <t>貫</t>
    </r>
    <r>
      <rPr>
        <sz val="10"/>
        <rFont val="Arial Narrow"/>
        <family val="2"/>
      </rPr>
      <t xml:space="preserve"> </t>
    </r>
    <r>
      <rPr>
        <sz val="10"/>
        <rFont val="華康粗圓體"/>
        <family val="3"/>
        <charset val="136"/>
      </rPr>
      <t>道</t>
    </r>
    <phoneticPr fontId="6" type="noConversion"/>
  </si>
  <si>
    <r>
      <rPr>
        <sz val="10"/>
        <rFont val="華康粗圓體"/>
        <family val="3"/>
        <charset val="136"/>
      </rPr>
      <t>　　理　　教</t>
    </r>
    <phoneticPr fontId="6" type="noConversion"/>
  </si>
  <si>
    <r>
      <rPr>
        <sz val="10"/>
        <rFont val="華康粗圓體"/>
        <family val="3"/>
        <charset val="136"/>
      </rPr>
      <t>　　其他寺廟</t>
    </r>
    <phoneticPr fontId="6" type="noConversion"/>
  </si>
  <si>
    <r>
      <rPr>
        <b/>
        <sz val="10"/>
        <rFont val="華康粗圓體"/>
        <family val="3"/>
        <charset val="136"/>
      </rPr>
      <t>　教堂</t>
    </r>
    <r>
      <rPr>
        <b/>
        <sz val="10"/>
        <rFont val="Arial Narrow"/>
        <family val="2"/>
      </rPr>
      <t xml:space="preserve"> Churches</t>
    </r>
    <phoneticPr fontId="6" type="noConversion"/>
  </si>
  <si>
    <r>
      <rPr>
        <sz val="10"/>
        <rFont val="華康粗圓體"/>
        <family val="3"/>
        <charset val="136"/>
      </rPr>
      <t>　　天</t>
    </r>
    <r>
      <rPr>
        <sz val="10"/>
        <rFont val="Arial Narrow"/>
        <family val="2"/>
      </rPr>
      <t xml:space="preserve"> </t>
    </r>
    <r>
      <rPr>
        <sz val="10"/>
        <rFont val="華康粗圓體"/>
        <family val="3"/>
        <charset val="136"/>
      </rPr>
      <t>主</t>
    </r>
    <r>
      <rPr>
        <sz val="10"/>
        <rFont val="Arial Narrow"/>
        <family val="2"/>
      </rPr>
      <t xml:space="preserve"> </t>
    </r>
    <r>
      <rPr>
        <sz val="10"/>
        <rFont val="華康粗圓體"/>
        <family val="3"/>
        <charset val="136"/>
      </rPr>
      <t>教</t>
    </r>
    <phoneticPr fontId="6" type="noConversion"/>
  </si>
  <si>
    <r>
      <rPr>
        <sz val="10"/>
        <rFont val="華康粗圓體"/>
        <family val="3"/>
        <charset val="136"/>
      </rPr>
      <t>　　基</t>
    </r>
    <r>
      <rPr>
        <sz val="10"/>
        <rFont val="Arial Narrow"/>
        <family val="2"/>
      </rPr>
      <t xml:space="preserve"> </t>
    </r>
    <r>
      <rPr>
        <sz val="10"/>
        <rFont val="華康粗圓體"/>
        <family val="3"/>
        <charset val="136"/>
      </rPr>
      <t>督</t>
    </r>
    <r>
      <rPr>
        <sz val="10"/>
        <rFont val="Arial Narrow"/>
        <family val="2"/>
      </rPr>
      <t xml:space="preserve"> </t>
    </r>
    <r>
      <rPr>
        <sz val="10"/>
        <rFont val="華康粗圓體"/>
        <family val="3"/>
        <charset val="136"/>
      </rPr>
      <t>教</t>
    </r>
    <phoneticPr fontId="6" type="noConversion"/>
  </si>
  <si>
    <r>
      <rPr>
        <sz val="10"/>
        <rFont val="華康粗圓體"/>
        <family val="3"/>
        <charset val="136"/>
      </rPr>
      <t>　　其他教堂</t>
    </r>
    <phoneticPr fontId="6" type="noConversion"/>
  </si>
  <si>
    <t>End of 2016</t>
    <phoneticPr fontId="6" type="noConversion"/>
  </si>
  <si>
    <r>
      <rPr>
        <sz val="10"/>
        <rFont val="華康粗圓體"/>
        <family val="3"/>
        <charset val="136"/>
      </rPr>
      <t>民國</t>
    </r>
    <r>
      <rPr>
        <sz val="10"/>
        <rFont val="Arial Narrow"/>
        <family val="2"/>
      </rPr>
      <t>105</t>
    </r>
    <r>
      <rPr>
        <sz val="10"/>
        <rFont val="華康粗圓體"/>
        <family val="3"/>
        <charset val="136"/>
      </rPr>
      <t>年底</t>
    </r>
    <phoneticPr fontId="6" type="noConversion"/>
  </si>
  <si>
    <t>End of 2016</t>
    <phoneticPr fontId="6" type="noConversion"/>
  </si>
  <si>
    <t>End of 2015</t>
    <phoneticPr fontId="6" type="noConversion"/>
  </si>
  <si>
    <t>End of 2016</t>
    <phoneticPr fontId="6" type="noConversion"/>
  </si>
  <si>
    <r>
      <t>(</t>
    </r>
    <r>
      <rPr>
        <sz val="9"/>
        <rFont val="華康粗圓體"/>
        <family val="3"/>
        <charset val="136"/>
      </rPr>
      <t>人次</t>
    </r>
    <r>
      <rPr>
        <sz val="9"/>
        <rFont val="Arial Narrow"/>
        <family val="2"/>
      </rPr>
      <t>)</t>
    </r>
    <phoneticPr fontId="6" type="noConversion"/>
  </si>
  <si>
    <r>
      <t>(</t>
    </r>
    <r>
      <rPr>
        <sz val="9"/>
        <rFont val="華康粗圓體"/>
        <family val="3"/>
        <charset val="136"/>
      </rPr>
      <t>處</t>
    </r>
    <r>
      <rPr>
        <sz val="9"/>
        <rFont val="Arial Narrow"/>
        <family val="2"/>
      </rPr>
      <t>)</t>
    </r>
    <phoneticPr fontId="6" type="noConversion"/>
  </si>
  <si>
    <r>
      <t>(</t>
    </r>
    <r>
      <rPr>
        <sz val="9"/>
        <rFont val="華康粗圓體"/>
        <family val="3"/>
        <charset val="136"/>
      </rPr>
      <t>班</t>
    </r>
    <r>
      <rPr>
        <sz val="9"/>
        <rFont val="Arial Narrow"/>
        <family val="2"/>
      </rPr>
      <t>)</t>
    </r>
    <phoneticPr fontId="6" type="noConversion"/>
  </si>
  <si>
    <r>
      <rPr>
        <sz val="9"/>
        <rFont val="華康粗圓體"/>
        <family val="3"/>
        <charset val="136"/>
      </rPr>
      <t>（隊）</t>
    </r>
    <phoneticPr fontId="6" type="noConversion"/>
  </si>
  <si>
    <r>
      <t>(</t>
    </r>
    <r>
      <rPr>
        <sz val="9"/>
        <rFont val="華康粗圓體"/>
        <family val="3"/>
        <charset val="136"/>
      </rPr>
      <t>隊</t>
    </r>
    <r>
      <rPr>
        <sz val="9"/>
        <rFont val="Arial Narrow"/>
        <family val="2"/>
      </rPr>
      <t>)</t>
    </r>
    <phoneticPr fontId="6" type="noConversion"/>
  </si>
  <si>
    <r>
      <rPr>
        <sz val="9"/>
        <rFont val="華康粗圓體"/>
        <family val="3"/>
        <charset val="136"/>
      </rPr>
      <t xml:space="preserve">團隊
</t>
    </r>
    <r>
      <rPr>
        <sz val="9"/>
        <rFont val="Arial Narrow"/>
        <family val="2"/>
      </rPr>
      <t>(</t>
    </r>
    <r>
      <rPr>
        <sz val="9"/>
        <rFont val="華康粗圓體"/>
        <family val="3"/>
        <charset val="136"/>
      </rPr>
      <t>隊</t>
    </r>
    <r>
      <rPr>
        <sz val="9"/>
        <rFont val="Arial Narrow"/>
        <family val="2"/>
      </rPr>
      <t>)</t>
    </r>
    <phoneticPr fontId="6" type="noConversion"/>
  </si>
  <si>
    <r>
      <rPr>
        <sz val="9"/>
        <rFont val="華康粗圓體"/>
        <family val="3"/>
        <charset val="136"/>
      </rPr>
      <t xml:space="preserve">志工數
</t>
    </r>
    <r>
      <rPr>
        <sz val="9"/>
        <rFont val="Arial Narrow"/>
        <family val="2"/>
      </rPr>
      <t>(</t>
    </r>
    <r>
      <rPr>
        <sz val="9"/>
        <rFont val="華康粗圓體"/>
        <family val="3"/>
        <charset val="136"/>
      </rPr>
      <t>人</t>
    </r>
    <r>
      <rPr>
        <sz val="9"/>
        <rFont val="Arial Narrow"/>
        <family val="2"/>
      </rPr>
      <t>)</t>
    </r>
    <phoneticPr fontId="6" type="noConversion"/>
  </si>
  <si>
    <r>
      <rPr>
        <sz val="9"/>
        <rFont val="華康粗圓體"/>
        <family val="3"/>
        <charset val="136"/>
      </rPr>
      <t>（處）</t>
    </r>
    <phoneticPr fontId="6" type="noConversion"/>
  </si>
  <si>
    <r>
      <t>(</t>
    </r>
    <r>
      <rPr>
        <sz val="9"/>
        <rFont val="華康粗圓體"/>
        <family val="3"/>
        <charset val="136"/>
      </rPr>
      <t>期</t>
    </r>
    <r>
      <rPr>
        <sz val="9"/>
        <rFont val="Arial Narrow"/>
        <family val="2"/>
      </rPr>
      <t>)</t>
    </r>
    <phoneticPr fontId="6" type="noConversion"/>
  </si>
  <si>
    <t>Limited Medical Subsidies</t>
    <phoneticPr fontId="6" type="noConversion"/>
  </si>
  <si>
    <r>
      <rPr>
        <sz val="10"/>
        <rFont val="華康粗圓體"/>
        <family val="3"/>
        <charset val="136"/>
      </rPr>
      <t>民國</t>
    </r>
    <r>
      <rPr>
        <sz val="10"/>
        <rFont val="Arial Narrow"/>
        <family val="2"/>
      </rPr>
      <t>105</t>
    </r>
    <r>
      <rPr>
        <sz val="10"/>
        <rFont val="華康粗圓體"/>
        <family val="3"/>
        <charset val="136"/>
      </rPr>
      <t xml:space="preserve">年
</t>
    </r>
    <r>
      <rPr>
        <sz val="10"/>
        <rFont val="Arial Narrow"/>
        <family val="2"/>
      </rPr>
      <t>2016</t>
    </r>
    <phoneticPr fontId="6" type="noConversion"/>
  </si>
  <si>
    <t>Source : Department of Social Welfare, Taoyuan City Gov.</t>
  </si>
  <si>
    <t>Source : Department of Social Welfare, Taoyuan City Gov.</t>
    <phoneticPr fontId="6" type="noConversion"/>
  </si>
  <si>
    <t>Note : 1. Class 1 refers to those households whose population all have no work capacity, income and property.</t>
    <phoneticPr fontId="6" type="noConversion"/>
  </si>
  <si>
    <t xml:space="preserve">           2. Class 2 refers to those families whose working population constitutes to one-third or less of the total household population.</t>
    <phoneticPr fontId="6" type="noConversion"/>
  </si>
  <si>
    <t xml:space="preserve">               The total household income is equally distributed through the familiy, and the monthly expenditure per person is below</t>
    <phoneticPr fontId="6" type="noConversion"/>
  </si>
  <si>
    <t xml:space="preserve">               two-thirds of the subsistence level.</t>
    <phoneticPr fontId="6" type="noConversion"/>
  </si>
  <si>
    <t xml:space="preserve">          3. Class 3 refers to those families whose total household income is equally distributed through the household population,</t>
    <phoneticPr fontId="6" type="noConversion"/>
  </si>
  <si>
    <t xml:space="preserve">               and the monthly expenditure per capita is above two-thirds of the subsistence level, but less than the subsistence level. </t>
    <phoneticPr fontId="6" type="noConversion"/>
  </si>
  <si>
    <r>
      <rPr>
        <sz val="10"/>
        <rFont val="華康粗圓體"/>
        <family val="3"/>
        <charset val="136"/>
      </rPr>
      <t>節日慰問</t>
    </r>
    <phoneticPr fontId="6" type="noConversion"/>
  </si>
  <si>
    <r>
      <rPr>
        <sz val="10"/>
        <rFont val="華康粗圓體"/>
        <family val="3"/>
        <charset val="136"/>
      </rPr>
      <t>其他補助</t>
    </r>
    <phoneticPr fontId="6" type="noConversion"/>
  </si>
  <si>
    <t>Employment Counseling</t>
    <phoneticPr fontId="6" type="noConversion"/>
  </si>
  <si>
    <t>Education Subsidies</t>
    <phoneticPr fontId="6" type="noConversion"/>
  </si>
  <si>
    <t>Funeral Subsidies</t>
    <phoneticPr fontId="6" type="noConversion"/>
  </si>
  <si>
    <t>Festival Grants</t>
    <phoneticPr fontId="6" type="noConversion"/>
  </si>
  <si>
    <t>Others</t>
    <phoneticPr fontId="6" type="noConversion"/>
  </si>
  <si>
    <t>Year</t>
    <phoneticPr fontId="6" type="noConversion"/>
  </si>
  <si>
    <t>Employment Service</t>
    <phoneticPr fontId="6" type="noConversion"/>
  </si>
  <si>
    <t>Vocational Training</t>
    <phoneticPr fontId="6" type="noConversion"/>
  </si>
  <si>
    <t>Work Relief</t>
    <phoneticPr fontId="6" type="noConversion"/>
  </si>
  <si>
    <t>Person-times</t>
    <phoneticPr fontId="6" type="noConversion"/>
  </si>
  <si>
    <t>Amount</t>
    <phoneticPr fontId="6" type="noConversion"/>
  </si>
  <si>
    <t>Persons</t>
    <phoneticPr fontId="6" type="noConversion"/>
  </si>
  <si>
    <t>Household-times</t>
    <phoneticPr fontId="6" type="noConversion"/>
  </si>
  <si>
    <t>Social Welfare</t>
    <phoneticPr fontId="4" type="noConversion"/>
  </si>
  <si>
    <t>Table 11-9. Persons and Living Assistance of Mid-Income Families</t>
    <phoneticPr fontId="6" type="noConversion"/>
  </si>
  <si>
    <r>
      <rPr>
        <sz val="8.5"/>
        <rFont val="華康粗圓體"/>
        <family val="3"/>
        <charset val="136"/>
      </rPr>
      <t xml:space="preserve">占全市
總戶數比率
</t>
    </r>
    <r>
      <rPr>
        <sz val="8.5"/>
        <rFont val="Arial Narrow"/>
        <family val="2"/>
      </rPr>
      <t>(%)</t>
    </r>
    <phoneticPr fontId="4" type="noConversion"/>
  </si>
  <si>
    <r>
      <rPr>
        <sz val="8.5"/>
        <rFont val="華康粗圓體"/>
        <family val="3"/>
        <charset val="136"/>
      </rPr>
      <t xml:space="preserve">占全市
總人口比率
</t>
    </r>
    <r>
      <rPr>
        <sz val="8.5"/>
        <rFont val="Arial Narrow"/>
        <family val="2"/>
      </rPr>
      <t>(%)</t>
    </r>
    <phoneticPr fontId="4" type="noConversion"/>
  </si>
  <si>
    <t>Employment Service</t>
    <phoneticPr fontId="6" type="noConversion"/>
  </si>
  <si>
    <t>Vocational Training</t>
    <phoneticPr fontId="6" type="noConversion"/>
  </si>
  <si>
    <t>Work Relief</t>
    <phoneticPr fontId="6" type="noConversion"/>
  </si>
  <si>
    <t>As a Percentage of Total Households of the City</t>
    <phoneticPr fontId="6" type="noConversion"/>
  </si>
  <si>
    <t>Persons</t>
    <phoneticPr fontId="6" type="noConversion"/>
  </si>
  <si>
    <t>As a Percentage of Total Population of the City</t>
    <phoneticPr fontId="6" type="noConversion"/>
  </si>
  <si>
    <t>Person-
times</t>
    <phoneticPr fontId="6" type="noConversion"/>
  </si>
  <si>
    <t>Amount</t>
    <phoneticPr fontId="6" type="noConversion"/>
  </si>
  <si>
    <t>Persons</t>
    <phoneticPr fontId="6" type="noConversion"/>
  </si>
  <si>
    <t>Person-times</t>
    <phoneticPr fontId="6" type="noConversion"/>
  </si>
  <si>
    <t>Source : Department of Social Welfare, Taoyuan City Gov.</t>
    <phoneticPr fontId="6" type="noConversion"/>
  </si>
  <si>
    <t xml:space="preserve">              accepting subsidies).</t>
    <phoneticPr fontId="6" type="noConversion"/>
  </si>
  <si>
    <t>Social Welfare</t>
    <phoneticPr fontId="4" type="noConversion"/>
  </si>
  <si>
    <t>Table 11-10. Living Allowance for Mid or Low Income Elders and Old-Age Farmers Welfare Allowance</t>
    <phoneticPr fontId="6" type="noConversion"/>
  </si>
  <si>
    <t>Source : Ministry of Health and Welfare, Bureau of Labor Insurance, Ministry of Labor.</t>
    <phoneticPr fontId="6" type="noConversion"/>
  </si>
  <si>
    <t xml:space="preserve">Note : The figures in the "Persons" columns are the year-end data; whereas those in the "Amount" columns are </t>
    <phoneticPr fontId="6" type="noConversion"/>
  </si>
  <si>
    <t xml:space="preserve">           rounded-off numbers for the whole year.</t>
    <phoneticPr fontId="6" type="noConversion"/>
  </si>
  <si>
    <t>Social Welfare</t>
    <phoneticPr fontId="4" type="noConversion"/>
  </si>
  <si>
    <t>Table 11-10. Living Allowance for Mid or Low Income Elders and Old-Age Farmers Welfare Allowance (Cont.)</t>
    <phoneticPr fontId="6" type="noConversion"/>
  </si>
  <si>
    <t>Unit : Persons , NT$1,000</t>
    <phoneticPr fontId="6" type="noConversion"/>
  </si>
  <si>
    <r>
      <rPr>
        <sz val="10"/>
        <color indexed="8"/>
        <rFont val="華康粗圓體"/>
        <family val="3"/>
        <charset val="136"/>
      </rPr>
      <t>民國</t>
    </r>
    <r>
      <rPr>
        <sz val="10"/>
        <color indexed="8"/>
        <rFont val="Arial Narrow"/>
        <family val="2"/>
      </rPr>
      <t>105</t>
    </r>
    <r>
      <rPr>
        <sz val="10"/>
        <color indexed="8"/>
        <rFont val="華康粗圓體"/>
        <family val="3"/>
        <charset val="136"/>
      </rPr>
      <t xml:space="preserve">年
</t>
    </r>
    <r>
      <rPr>
        <sz val="10"/>
        <color indexed="8"/>
        <rFont val="Arial Narrow"/>
        <family val="2"/>
      </rPr>
      <t>2016</t>
    </r>
    <phoneticPr fontId="4" type="noConversion"/>
  </si>
  <si>
    <r>
      <rPr>
        <sz val="10"/>
        <rFont val="華康粗圓體"/>
        <family val="3"/>
        <charset val="136"/>
      </rPr>
      <t>民國</t>
    </r>
    <r>
      <rPr>
        <sz val="10"/>
        <rFont val="Arial Narrow"/>
        <family val="2"/>
      </rPr>
      <t>105</t>
    </r>
    <r>
      <rPr>
        <sz val="10"/>
        <rFont val="華康粗圓體"/>
        <family val="3"/>
        <charset val="136"/>
      </rPr>
      <t xml:space="preserve">年
</t>
    </r>
    <r>
      <rPr>
        <sz val="10"/>
        <rFont val="Arial Narrow"/>
        <family val="2"/>
      </rPr>
      <t>2016</t>
    </r>
    <phoneticPr fontId="4" type="noConversion"/>
  </si>
  <si>
    <r>
      <rPr>
        <sz val="9.5"/>
        <rFont val="華康粗圓體"/>
        <family val="3"/>
        <charset val="136"/>
      </rPr>
      <t xml:space="preserve">受理報案或
查報遊民
處理人數
</t>
    </r>
    <r>
      <rPr>
        <sz val="9.5"/>
        <rFont val="Arial Narrow"/>
        <family val="2"/>
      </rPr>
      <t>(</t>
    </r>
    <r>
      <rPr>
        <sz val="9.5"/>
        <rFont val="華康粗圓體"/>
        <family val="3"/>
        <charset val="136"/>
      </rPr>
      <t>人件</t>
    </r>
    <r>
      <rPr>
        <sz val="9.5"/>
        <rFont val="Arial Narrow"/>
        <family val="2"/>
      </rPr>
      <t>)</t>
    </r>
    <phoneticPr fontId="4" type="noConversion"/>
  </si>
  <si>
    <t>Source : Department of Social Welfare, Taoyuan City Gov.</t>
    <phoneticPr fontId="6" type="noConversion"/>
  </si>
  <si>
    <t>Source : Department of Social Welfare, Taoyuan City Gov.</t>
    <phoneticPr fontId="6" type="noConversion"/>
  </si>
  <si>
    <t>Social Welfare</t>
    <phoneticPr fontId="4" type="noConversion"/>
  </si>
  <si>
    <t>Table 11-15. The Conditions of Elderly Welfare Services (Cont.)</t>
    <phoneticPr fontId="6" type="noConversion"/>
  </si>
  <si>
    <t>Unit : Persons, Person-times</t>
    <phoneticPr fontId="6" type="noConversion"/>
  </si>
  <si>
    <r>
      <rPr>
        <sz val="10"/>
        <rFont val="華康粗圓體"/>
        <family val="3"/>
        <charset val="136"/>
      </rPr>
      <t>年底老人福利服務</t>
    </r>
    <r>
      <rPr>
        <sz val="10"/>
        <rFont val="Arial Narrow"/>
        <family val="2"/>
      </rPr>
      <t>(</t>
    </r>
    <r>
      <rPr>
        <sz val="10"/>
        <rFont val="華康粗圓體"/>
        <family val="3"/>
        <charset val="136"/>
      </rPr>
      <t>文康</t>
    </r>
    <r>
      <rPr>
        <sz val="10"/>
        <rFont val="Arial Narrow"/>
        <family val="2"/>
      </rPr>
      <t>)</t>
    </r>
    <r>
      <rPr>
        <sz val="10"/>
        <rFont val="華康粗圓體"/>
        <family val="3"/>
        <charset val="136"/>
      </rPr>
      <t>中心</t>
    </r>
    <r>
      <rPr>
        <sz val="10"/>
        <rFont val="Arial Narrow"/>
        <family val="2"/>
      </rPr>
      <t>(</t>
    </r>
    <r>
      <rPr>
        <sz val="10"/>
        <rFont val="華康粗圓體"/>
        <family val="3"/>
        <charset val="136"/>
      </rPr>
      <t>個</t>
    </r>
    <r>
      <rPr>
        <sz val="10"/>
        <rFont val="Arial Narrow"/>
        <family val="2"/>
      </rPr>
      <t>)</t>
    </r>
    <phoneticPr fontId="6" type="noConversion"/>
  </si>
  <si>
    <r>
      <rPr>
        <sz val="10"/>
        <rFont val="華康粗圓體"/>
        <family val="3"/>
        <charset val="136"/>
      </rPr>
      <t>長青學苑辦理成果</t>
    </r>
    <phoneticPr fontId="6" type="noConversion"/>
  </si>
  <si>
    <r>
      <rPr>
        <sz val="10"/>
        <rFont val="華康粗圓體"/>
        <family val="3"/>
        <charset val="136"/>
      </rPr>
      <t>居家服務</t>
    </r>
    <phoneticPr fontId="6" type="noConversion"/>
  </si>
  <si>
    <r>
      <rPr>
        <sz val="10"/>
        <rFont val="華康粗圓體"/>
        <family val="3"/>
        <charset val="136"/>
      </rPr>
      <t>老人營養餐飲服務</t>
    </r>
    <phoneticPr fontId="6" type="noConversion"/>
  </si>
  <si>
    <t>Elderly Welfare Services (Recreation and Culture) Centers, End of Year (Units)</t>
    <phoneticPr fontId="6" type="noConversion"/>
  </si>
  <si>
    <t>Achievements in Evergreen Academy</t>
    <phoneticPr fontId="6" type="noConversion"/>
  </si>
  <si>
    <t>Home Care Services</t>
    <phoneticPr fontId="6" type="noConversion"/>
  </si>
  <si>
    <t>Nutritional Food Services for the Aged</t>
    <phoneticPr fontId="6" type="noConversion"/>
  </si>
  <si>
    <r>
      <rPr>
        <sz val="10"/>
        <rFont val="華康粗圓體"/>
        <family val="3"/>
        <charset val="136"/>
      </rPr>
      <t xml:space="preserve">全市性老人文康
</t>
    </r>
    <r>
      <rPr>
        <sz val="10"/>
        <rFont val="Arial Narrow"/>
        <family val="2"/>
      </rPr>
      <t>(</t>
    </r>
    <r>
      <rPr>
        <sz val="10"/>
        <rFont val="華康粗圓體"/>
        <family val="3"/>
        <charset val="136"/>
      </rPr>
      <t>福利服務</t>
    </r>
    <r>
      <rPr>
        <sz val="10"/>
        <rFont val="Arial Narrow"/>
        <family val="2"/>
      </rPr>
      <t>)</t>
    </r>
    <r>
      <rPr>
        <sz val="10"/>
        <rFont val="華康粗圓體"/>
        <family val="3"/>
        <charset val="136"/>
      </rPr>
      <t>中心</t>
    </r>
    <phoneticPr fontId="6" type="noConversion"/>
  </si>
  <si>
    <r>
      <rPr>
        <sz val="10"/>
        <rFont val="華康粗圓體"/>
        <family val="3"/>
        <charset val="136"/>
      </rPr>
      <t xml:space="preserve">各區老人文康
</t>
    </r>
    <r>
      <rPr>
        <sz val="10"/>
        <rFont val="Arial Narrow"/>
        <family val="2"/>
      </rPr>
      <t>(</t>
    </r>
    <r>
      <rPr>
        <sz val="10"/>
        <rFont val="華康粗圓體"/>
        <family val="3"/>
        <charset val="136"/>
      </rPr>
      <t>福利服務</t>
    </r>
    <r>
      <rPr>
        <sz val="10"/>
        <rFont val="Arial Narrow"/>
        <family val="2"/>
      </rPr>
      <t>)</t>
    </r>
    <r>
      <rPr>
        <sz val="10"/>
        <rFont val="華康粗圓體"/>
        <family val="3"/>
        <charset val="136"/>
      </rPr>
      <t>中心</t>
    </r>
    <phoneticPr fontId="6" type="noConversion"/>
  </si>
  <si>
    <r>
      <rPr>
        <sz val="9"/>
        <rFont val="華康粗圓體"/>
        <family val="3"/>
        <charset val="136"/>
      </rPr>
      <t xml:space="preserve">社區型老人文康中心
</t>
    </r>
    <r>
      <rPr>
        <sz val="9"/>
        <rFont val="Arial Narrow"/>
        <family val="2"/>
      </rPr>
      <t>(</t>
    </r>
    <r>
      <rPr>
        <sz val="9"/>
        <rFont val="華康粗圓體"/>
        <family val="3"/>
        <charset val="136"/>
      </rPr>
      <t>長壽俱樂部及其他
類型老人活動場所</t>
    </r>
    <r>
      <rPr>
        <sz val="9"/>
        <rFont val="Arial Narrow"/>
        <family val="2"/>
      </rPr>
      <t>)</t>
    </r>
    <phoneticPr fontId="6" type="noConversion"/>
  </si>
  <si>
    <r>
      <rPr>
        <sz val="10"/>
        <rFont val="華康粗圓體"/>
        <family val="3"/>
        <charset val="136"/>
      </rPr>
      <t xml:space="preserve">其他類型
老人活動場所
</t>
    </r>
    <r>
      <rPr>
        <sz val="10"/>
        <rFont val="Arial Narrow"/>
        <family val="2"/>
      </rPr>
      <t>(</t>
    </r>
    <r>
      <rPr>
        <sz val="10"/>
        <rFont val="華康粗圓體"/>
        <family val="3"/>
        <charset val="136"/>
      </rPr>
      <t>老人會暨其他團體</t>
    </r>
    <r>
      <rPr>
        <sz val="10"/>
        <rFont val="Arial Narrow"/>
        <family val="2"/>
      </rPr>
      <t>)</t>
    </r>
    <phoneticPr fontId="6" type="noConversion"/>
  </si>
  <si>
    <r>
      <rPr>
        <sz val="10"/>
        <rFont val="華康粗圓體"/>
        <family val="3"/>
        <charset val="136"/>
      </rPr>
      <t xml:space="preserve">年底所數
</t>
    </r>
    <r>
      <rPr>
        <sz val="10"/>
        <rFont val="Arial Narrow"/>
        <family val="2"/>
      </rPr>
      <t>(</t>
    </r>
    <r>
      <rPr>
        <sz val="10"/>
        <rFont val="華康粗圓體"/>
        <family val="3"/>
        <charset val="136"/>
      </rPr>
      <t>所</t>
    </r>
    <r>
      <rPr>
        <sz val="10"/>
        <rFont val="Arial Narrow"/>
        <family val="2"/>
      </rPr>
      <t>)</t>
    </r>
    <phoneticPr fontId="6" type="noConversion"/>
  </si>
  <si>
    <r>
      <rPr>
        <sz val="10"/>
        <rFont val="華康粗圓體"/>
        <family val="3"/>
        <charset val="136"/>
      </rPr>
      <t xml:space="preserve">班數
</t>
    </r>
    <r>
      <rPr>
        <sz val="10"/>
        <rFont val="Arial Narrow"/>
        <family val="2"/>
      </rPr>
      <t>(</t>
    </r>
    <r>
      <rPr>
        <sz val="10"/>
        <rFont val="華康粗圓體"/>
        <family val="3"/>
        <charset val="136"/>
      </rPr>
      <t>班</t>
    </r>
    <r>
      <rPr>
        <sz val="10"/>
        <rFont val="Arial Narrow"/>
        <family val="2"/>
      </rPr>
      <t>)</t>
    </r>
    <phoneticPr fontId="6" type="noConversion"/>
  </si>
  <si>
    <t>Year</t>
    <phoneticPr fontId="6" type="noConversion"/>
  </si>
  <si>
    <t>Total</t>
    <phoneticPr fontId="6" type="noConversion"/>
  </si>
  <si>
    <t>Recreation
(Welfare Service)
Centers for City</t>
    <phoneticPr fontId="6" type="noConversion"/>
  </si>
  <si>
    <t>Recreation
(Welfare Service)
Centers for Districts.</t>
    <phoneticPr fontId="6" type="noConversion"/>
  </si>
  <si>
    <t>Senior Clubs, Type Community
(The Longevity Clubs &amp; Other Types of Activity Sites for the Elderly)</t>
    <phoneticPr fontId="6" type="noConversion"/>
  </si>
  <si>
    <t>Others</t>
    <phoneticPr fontId="6" type="noConversion"/>
  </si>
  <si>
    <t>No. of Academies,
End of Year
(Units)</t>
    <phoneticPr fontId="6" type="noConversion"/>
  </si>
  <si>
    <t>No. of
Classes
(Classes)</t>
    <phoneticPr fontId="6" type="noConversion"/>
  </si>
  <si>
    <t>No. of
Attended
Persons</t>
    <phoneticPr fontId="6" type="noConversion"/>
  </si>
  <si>
    <t>No. of Beneficiaries,
End of Year</t>
    <phoneticPr fontId="6" type="noConversion"/>
  </si>
  <si>
    <t>No.of
Beneficiary-times</t>
    <phoneticPr fontId="6" type="noConversion"/>
  </si>
  <si>
    <t>Social Welfare</t>
    <phoneticPr fontId="4" type="noConversion"/>
  </si>
  <si>
    <t>Table 11-17. The Conditions of Organizations of Child Care Service</t>
    <phoneticPr fontId="6" type="noConversion"/>
  </si>
  <si>
    <t>Unit: Places, Persons</t>
    <phoneticPr fontId="6" type="noConversion"/>
  </si>
  <si>
    <r>
      <rPr>
        <sz val="8.5"/>
        <rFont val="華康粗圓體"/>
        <family val="3"/>
        <charset val="136"/>
      </rPr>
      <t xml:space="preserve">教保
</t>
    </r>
    <r>
      <rPr>
        <sz val="8.5"/>
        <rFont val="Arial Narrow"/>
        <family val="2"/>
      </rPr>
      <t>(</t>
    </r>
    <r>
      <rPr>
        <sz val="8.5"/>
        <rFont val="華康粗圓體"/>
        <family val="3"/>
        <charset val="136"/>
      </rPr>
      <t>含助理</t>
    </r>
    <r>
      <rPr>
        <sz val="8.5"/>
        <rFont val="Arial Narrow"/>
        <family val="2"/>
      </rPr>
      <t xml:space="preserve">)
</t>
    </r>
    <r>
      <rPr>
        <sz val="8.5"/>
        <rFont val="華康粗圓體"/>
        <family val="3"/>
        <charset val="136"/>
      </rPr>
      <t>員數</t>
    </r>
    <phoneticPr fontId="6" type="noConversion"/>
  </si>
  <si>
    <r>
      <rPr>
        <sz val="8"/>
        <rFont val="華康粗圓體"/>
        <family val="3"/>
        <charset val="136"/>
      </rPr>
      <t xml:space="preserve">保母、教保
</t>
    </r>
    <r>
      <rPr>
        <sz val="8"/>
        <rFont val="Arial Narrow"/>
        <family val="2"/>
      </rPr>
      <t>(</t>
    </r>
    <r>
      <rPr>
        <sz val="8"/>
        <rFont val="華康粗圓體"/>
        <family val="3"/>
        <charset val="136"/>
      </rPr>
      <t>含助理</t>
    </r>
    <r>
      <rPr>
        <sz val="8"/>
        <rFont val="Arial Narrow"/>
        <family val="2"/>
      </rPr>
      <t xml:space="preserve">)
</t>
    </r>
    <r>
      <rPr>
        <sz val="8"/>
        <rFont val="華康粗圓體"/>
        <family val="3"/>
        <charset val="136"/>
      </rPr>
      <t>員數</t>
    </r>
    <phoneticPr fontId="6" type="noConversion"/>
  </si>
  <si>
    <t>Nursemaid and Child Care
(Included Assistant)
Workers</t>
    <phoneticPr fontId="6" type="noConversion"/>
  </si>
  <si>
    <t>No. of
Organi-
zations</t>
    <phoneticPr fontId="6" type="noConversion"/>
  </si>
  <si>
    <t>No. of
Cared</t>
    <phoneticPr fontId="6" type="noConversion"/>
  </si>
  <si>
    <t>No. of
Professional
Workers</t>
    <phoneticPr fontId="6" type="noConversion"/>
  </si>
  <si>
    <t>Child Care
(Included Assistant)
Workers</t>
    <phoneticPr fontId="6" type="noConversion"/>
  </si>
  <si>
    <r>
      <rPr>
        <sz val="10"/>
        <rFont val="華康粗圓體"/>
        <family val="3"/>
        <charset val="136"/>
      </rPr>
      <t>民國</t>
    </r>
    <r>
      <rPr>
        <sz val="10"/>
        <rFont val="Arial Narrow"/>
        <family val="2"/>
      </rPr>
      <t>105</t>
    </r>
    <r>
      <rPr>
        <sz val="10"/>
        <rFont val="華康粗圓體"/>
        <family val="3"/>
        <charset val="136"/>
      </rPr>
      <t xml:space="preserve">年底
</t>
    </r>
    <r>
      <rPr>
        <sz val="10"/>
        <rFont val="Arial Narrow"/>
        <family val="2"/>
      </rPr>
      <t>End of 2016</t>
    </r>
    <phoneticPr fontId="4" type="noConversion"/>
  </si>
  <si>
    <t>Source : Department of Social Welfare and Department of Education, Taoyuan City Gov.</t>
    <phoneticPr fontId="6" type="noConversion"/>
  </si>
  <si>
    <t>Note :The format of this table has changed because the format of the statement was modified in 2012.</t>
    <phoneticPr fontId="6" type="noConversion"/>
  </si>
  <si>
    <t xml:space="preserve">  </t>
    <phoneticPr fontId="6" type="noConversion"/>
  </si>
  <si>
    <t>Table 11-18. The Conditions of Women Welfare Services</t>
    <phoneticPr fontId="6" type="noConversion"/>
  </si>
  <si>
    <t>Housing/Sheltering Centers</t>
    <phoneticPr fontId="6" type="noConversion"/>
  </si>
  <si>
    <t>Parenting Lectures</t>
    <phoneticPr fontId="6" type="noConversion"/>
  </si>
  <si>
    <t>Welfare Activities</t>
    <phoneticPr fontId="6" type="noConversion"/>
  </si>
  <si>
    <t>Growth Education</t>
    <phoneticPr fontId="6" type="noConversion"/>
  </si>
  <si>
    <t>No. of Institutions of Welfare Service Centers, End of Year
(Place)</t>
    <phoneticPr fontId="6" type="noConversion"/>
  </si>
  <si>
    <t>Consulting
Assistance
(Person-times)</t>
    <phoneticPr fontId="6" type="noConversion"/>
  </si>
  <si>
    <r>
      <rPr>
        <sz val="10"/>
        <rFont val="華康粗圓體"/>
        <family val="3"/>
        <charset val="136"/>
      </rPr>
      <t xml:space="preserve">參加人次
</t>
    </r>
    <r>
      <rPr>
        <sz val="10"/>
        <rFont val="Arial Narrow"/>
        <family val="2"/>
      </rPr>
      <t>(</t>
    </r>
    <r>
      <rPr>
        <sz val="10"/>
        <rFont val="華康粗圓體"/>
        <family val="3"/>
        <charset val="136"/>
      </rPr>
      <t>人次</t>
    </r>
    <r>
      <rPr>
        <sz val="10"/>
        <rFont val="Arial Narrow"/>
        <family val="2"/>
      </rPr>
      <t>)</t>
    </r>
    <phoneticPr fontId="6" type="noConversion"/>
  </si>
  <si>
    <t>No. of Institutions, End of Year
(Place)</t>
    <phoneticPr fontId="6" type="noConversion"/>
  </si>
  <si>
    <t>Accommodated Persons
(Person-times)</t>
    <phoneticPr fontId="6" type="noConversion"/>
  </si>
  <si>
    <t>No. of Times
(Times)</t>
    <phoneticPr fontId="6" type="noConversion"/>
  </si>
  <si>
    <t>No. of Participants 
(Person-times)</t>
    <phoneticPr fontId="6" type="noConversion"/>
  </si>
  <si>
    <t>No. of Classes
(Classes)</t>
    <phoneticPr fontId="6" type="noConversion"/>
  </si>
  <si>
    <t>Welfare and Interests  Activities</t>
    <phoneticPr fontId="6" type="noConversion"/>
  </si>
  <si>
    <t>Team Scheme Service</t>
    <phoneticPr fontId="6" type="noConversion"/>
  </si>
  <si>
    <t>Organizes Empower Activities</t>
    <phoneticPr fontId="6" type="noConversion"/>
  </si>
  <si>
    <t>Sex Realizes Empower Activities</t>
    <phoneticPr fontId="6" type="noConversion"/>
  </si>
  <si>
    <t>Cases  Management  Service
(Person-times)</t>
    <phoneticPr fontId="6" type="noConversion"/>
  </si>
  <si>
    <t>No.of Participants 
(Person-times)</t>
    <phoneticPr fontId="6" type="noConversion"/>
  </si>
  <si>
    <t>Classes
(Classes)</t>
    <phoneticPr fontId="6" type="noConversion"/>
  </si>
  <si>
    <t>Table 11-18. The Conditions of Women Welfare Services (Cont.)</t>
    <phoneticPr fontId="6" type="noConversion"/>
  </si>
  <si>
    <t>Others</t>
    <phoneticPr fontId="4" type="noConversion"/>
  </si>
  <si>
    <t>Telephone Interview
(Person-times)</t>
    <phoneticPr fontId="4" type="noConversion"/>
  </si>
  <si>
    <t>Family Visit
(Person-times)</t>
    <phoneticPr fontId="6" type="noConversion"/>
  </si>
  <si>
    <t>Cases Management and Counselling Services
(Person-times)</t>
    <phoneticPr fontId="4" type="noConversion"/>
  </si>
  <si>
    <r>
      <rPr>
        <sz val="10"/>
        <rFont val="華康粗圓體"/>
        <family val="3"/>
        <charset val="136"/>
      </rPr>
      <t xml:space="preserve">辦理場次
</t>
    </r>
    <r>
      <rPr>
        <sz val="10"/>
        <rFont val="Arial Narrow"/>
        <family val="2"/>
      </rPr>
      <t>(</t>
    </r>
    <r>
      <rPr>
        <sz val="10"/>
        <rFont val="華康粗圓體"/>
        <family val="3"/>
        <charset val="136"/>
      </rPr>
      <t>次</t>
    </r>
    <r>
      <rPr>
        <sz val="10"/>
        <rFont val="Arial Narrow"/>
        <family val="2"/>
      </rPr>
      <t>)</t>
    </r>
    <phoneticPr fontId="4" type="noConversion"/>
  </si>
  <si>
    <r>
      <rPr>
        <sz val="10"/>
        <rFont val="華康粗圓體"/>
        <family val="3"/>
        <charset val="136"/>
      </rPr>
      <t>年別</t>
    </r>
    <r>
      <rPr>
        <sz val="10"/>
        <rFont val="Arial Narrow"/>
        <family val="2"/>
      </rPr>
      <t xml:space="preserve"> </t>
    </r>
    <phoneticPr fontId="6" type="noConversion"/>
  </si>
  <si>
    <r>
      <rPr>
        <sz val="10"/>
        <rFont val="華康粗圓體"/>
        <family val="3"/>
        <charset val="136"/>
      </rPr>
      <t xml:space="preserve">電話訪問
</t>
    </r>
    <r>
      <rPr>
        <sz val="10"/>
        <rFont val="Arial Narrow"/>
        <family val="2"/>
      </rPr>
      <t>(</t>
    </r>
    <r>
      <rPr>
        <sz val="10"/>
        <rFont val="華康粗圓體"/>
        <family val="3"/>
        <charset val="136"/>
      </rPr>
      <t>人次</t>
    </r>
    <r>
      <rPr>
        <sz val="10"/>
        <rFont val="Arial Narrow"/>
        <family val="2"/>
      </rPr>
      <t>)</t>
    </r>
    <phoneticPr fontId="6" type="noConversion"/>
  </si>
  <si>
    <r>
      <rPr>
        <sz val="10"/>
        <rFont val="華康粗圓體"/>
        <family val="3"/>
        <charset val="136"/>
      </rPr>
      <t xml:space="preserve">個案管理
輔導服務
</t>
    </r>
    <r>
      <rPr>
        <sz val="10"/>
        <rFont val="Arial Narrow"/>
        <family val="2"/>
      </rPr>
      <t>(</t>
    </r>
    <r>
      <rPr>
        <sz val="10"/>
        <rFont val="華康粗圓體"/>
        <family val="3"/>
        <charset val="136"/>
      </rPr>
      <t>人次</t>
    </r>
    <r>
      <rPr>
        <sz val="10"/>
        <rFont val="Arial Narrow"/>
        <family val="2"/>
      </rPr>
      <t>)</t>
    </r>
    <phoneticPr fontId="6" type="noConversion"/>
  </si>
  <si>
    <t xml:space="preserve">Telephone Interview
(Person-times)
</t>
    <phoneticPr fontId="6" type="noConversion"/>
  </si>
  <si>
    <t>Cases Management and Counselling Services
(Person-times)</t>
    <phoneticPr fontId="6" type="noConversion"/>
  </si>
  <si>
    <r>
      <rPr>
        <sz val="10"/>
        <rFont val="華康粗圓體"/>
        <family val="3"/>
        <charset val="136"/>
      </rPr>
      <t xml:space="preserve">辦理場次
</t>
    </r>
    <r>
      <rPr>
        <sz val="10"/>
        <rFont val="Arial Narrow"/>
        <family val="2"/>
      </rPr>
      <t>(</t>
    </r>
    <r>
      <rPr>
        <sz val="10"/>
        <rFont val="華康粗圓體"/>
        <family val="3"/>
        <charset val="136"/>
      </rPr>
      <t>次</t>
    </r>
    <r>
      <rPr>
        <sz val="10"/>
        <rFont val="Arial Narrow"/>
        <family val="2"/>
      </rPr>
      <t>)</t>
    </r>
    <phoneticPr fontId="6" type="noConversion"/>
  </si>
  <si>
    <r>
      <rPr>
        <sz val="10"/>
        <rFont val="華康粗圓體"/>
        <family val="3"/>
        <charset val="136"/>
      </rPr>
      <t>民國</t>
    </r>
    <r>
      <rPr>
        <sz val="10"/>
        <rFont val="Arial Narrow"/>
        <family val="2"/>
      </rPr>
      <t>105</t>
    </r>
    <r>
      <rPr>
        <sz val="10"/>
        <rFont val="華康粗圓體"/>
        <family val="3"/>
        <charset val="136"/>
      </rPr>
      <t>年</t>
    </r>
    <r>
      <rPr>
        <sz val="10"/>
        <rFont val="Arial Narrow"/>
        <family val="2"/>
      </rPr>
      <t xml:space="preserve"> 2016</t>
    </r>
    <phoneticPr fontId="6" type="noConversion"/>
  </si>
  <si>
    <r>
      <rPr>
        <sz val="10"/>
        <rFont val="華康粗圓體"/>
        <family val="3"/>
        <charset val="136"/>
      </rPr>
      <t>民國</t>
    </r>
    <r>
      <rPr>
        <sz val="10"/>
        <rFont val="Arial Narrow"/>
        <family val="2"/>
      </rPr>
      <t>105</t>
    </r>
    <r>
      <rPr>
        <sz val="10"/>
        <rFont val="華康粗圓體"/>
        <family val="3"/>
        <charset val="136"/>
      </rPr>
      <t>年底</t>
    </r>
    <r>
      <rPr>
        <sz val="10"/>
        <rFont val="Arial Narrow"/>
        <family val="2"/>
      </rPr>
      <t xml:space="preserve"> End of 2016</t>
    </r>
    <phoneticPr fontId="4" type="noConversion"/>
  </si>
  <si>
    <t>Social Welfare</t>
    <phoneticPr fontId="4" type="noConversion"/>
  </si>
  <si>
    <t>Table 11-20. Social Welfare Personnel (Cont. 1)</t>
    <phoneticPr fontId="4" type="noConversion"/>
  </si>
  <si>
    <t>Unit : Persons</t>
    <phoneticPr fontId="6" type="noConversion"/>
  </si>
  <si>
    <t>Administrators</t>
    <phoneticPr fontId="4" type="noConversion"/>
  </si>
  <si>
    <t>Licensed Social Workers</t>
    <phoneticPr fontId="4" type="noConversion"/>
  </si>
  <si>
    <t>Specialists</t>
    <phoneticPr fontId="4" type="noConversion"/>
  </si>
  <si>
    <t xml:space="preserve">     Public Sectors</t>
    <phoneticPr fontId="4" type="noConversion"/>
  </si>
  <si>
    <t xml:space="preserve">         Department of Social Welfare</t>
    <phoneticPr fontId="4" type="noConversion"/>
  </si>
  <si>
    <t xml:space="preserve">         Administrative District Offices</t>
    <phoneticPr fontId="4" type="noConversion"/>
  </si>
  <si>
    <t xml:space="preserve">         Other Welfare Organizations </t>
    <phoneticPr fontId="4" type="noConversion"/>
  </si>
  <si>
    <t xml:space="preserve">     Government-owned,Contractor-</t>
    <phoneticPr fontId="4" type="noConversion"/>
  </si>
  <si>
    <t xml:space="preserve">     operated Organizations</t>
    <phoneticPr fontId="4" type="noConversion"/>
  </si>
  <si>
    <t>Social Welfare</t>
    <phoneticPr fontId="4" type="noConversion"/>
  </si>
  <si>
    <t>Table 11-20. Number of  Social Workers (Cont. 2)</t>
    <phoneticPr fontId="4" type="noConversion"/>
  </si>
  <si>
    <t>Unit : Persons</t>
    <phoneticPr fontId="6" type="noConversion"/>
  </si>
  <si>
    <r>
      <rPr>
        <sz val="10"/>
        <rFont val="華康粗圓體"/>
        <family val="3"/>
        <charset val="136"/>
      </rPr>
      <t>社會保險</t>
    </r>
    <r>
      <rPr>
        <sz val="10"/>
        <rFont val="Arial Narrow"/>
        <family val="2"/>
      </rPr>
      <t xml:space="preserve"> Social Insurance</t>
    </r>
    <phoneticPr fontId="4" type="noConversion"/>
  </si>
  <si>
    <r>
      <rPr>
        <sz val="10"/>
        <rFont val="華康粗圓體"/>
        <family val="3"/>
        <charset val="136"/>
      </rPr>
      <t>社會工作</t>
    </r>
    <r>
      <rPr>
        <sz val="10"/>
        <rFont val="Arial Narrow"/>
        <family val="2"/>
      </rPr>
      <t xml:space="preserve"> Social Works</t>
    </r>
    <phoneticPr fontId="4" type="noConversion"/>
  </si>
  <si>
    <t>Administrators</t>
    <phoneticPr fontId="4" type="noConversion"/>
  </si>
  <si>
    <t>Licensed Social Workers</t>
    <phoneticPr fontId="4" type="noConversion"/>
  </si>
  <si>
    <t>Specialists</t>
    <phoneticPr fontId="4" type="noConversion"/>
  </si>
  <si>
    <t xml:space="preserve">    Public Sectors</t>
    <phoneticPr fontId="4" type="noConversion"/>
  </si>
  <si>
    <r>
      <t xml:space="preserve">    </t>
    </r>
    <r>
      <rPr>
        <sz val="10"/>
        <rFont val="華康粗圓體"/>
        <family val="3"/>
        <charset val="136"/>
      </rPr>
      <t>桃園市政府社會局</t>
    </r>
    <phoneticPr fontId="4" type="noConversion"/>
  </si>
  <si>
    <t xml:space="preserve">          Department of Social Welfare</t>
    <phoneticPr fontId="4" type="noConversion"/>
  </si>
  <si>
    <r>
      <t xml:space="preserve">          </t>
    </r>
    <r>
      <rPr>
        <sz val="10"/>
        <rFont val="華康粗圓體"/>
        <family val="3"/>
        <charset val="136"/>
      </rPr>
      <t>各區公所</t>
    </r>
    <phoneticPr fontId="4" type="noConversion"/>
  </si>
  <si>
    <t xml:space="preserve">           Administrative District Offices</t>
    <phoneticPr fontId="4" type="noConversion"/>
  </si>
  <si>
    <t xml:space="preserve">           Other Welfare Organizations </t>
    <phoneticPr fontId="4" type="noConversion"/>
  </si>
  <si>
    <r>
      <t xml:space="preserve">    </t>
    </r>
    <r>
      <rPr>
        <sz val="10"/>
        <rFont val="華康粗圓體"/>
        <family val="3"/>
        <charset val="136"/>
      </rPr>
      <t>公設民營機構</t>
    </r>
    <phoneticPr fontId="4" type="noConversion"/>
  </si>
  <si>
    <t xml:space="preserve">    Government-owned,Contractor-</t>
    <phoneticPr fontId="4" type="noConversion"/>
  </si>
  <si>
    <t xml:space="preserve">    operated Organizations</t>
    <phoneticPr fontId="4" type="noConversion"/>
  </si>
  <si>
    <t>Social Welfare</t>
    <phoneticPr fontId="4" type="noConversion"/>
  </si>
  <si>
    <t>Table 11-20. Number of  Social Workers (Cont. 3 End)</t>
    <phoneticPr fontId="4" type="noConversion"/>
  </si>
  <si>
    <t>Unit : Persons</t>
    <phoneticPr fontId="6" type="noConversion"/>
  </si>
  <si>
    <r>
      <rPr>
        <sz val="10"/>
        <rFont val="華康粗圓體"/>
        <family val="3"/>
        <charset val="136"/>
      </rPr>
      <t>保護服務</t>
    </r>
    <r>
      <rPr>
        <sz val="10"/>
        <rFont val="Arial Narrow"/>
        <family val="2"/>
      </rPr>
      <t xml:space="preserve"> Protective Service</t>
    </r>
    <phoneticPr fontId="4" type="noConversion"/>
  </si>
  <si>
    <t>Administrators</t>
    <phoneticPr fontId="4" type="noConversion"/>
  </si>
  <si>
    <t>Licensed Social Workers</t>
    <phoneticPr fontId="4" type="noConversion"/>
  </si>
  <si>
    <t>Specialists</t>
    <phoneticPr fontId="4" type="noConversion"/>
  </si>
  <si>
    <t xml:space="preserve">     Public Sectors</t>
    <phoneticPr fontId="4" type="noConversion"/>
  </si>
  <si>
    <r>
      <t xml:space="preserve">        </t>
    </r>
    <r>
      <rPr>
        <sz val="10"/>
        <rFont val="華康粗圓體"/>
        <family val="3"/>
        <charset val="136"/>
      </rPr>
      <t>桃園市政府社會局</t>
    </r>
    <phoneticPr fontId="6" type="noConversion"/>
  </si>
  <si>
    <t xml:space="preserve">        Department of Social Welfare</t>
    <phoneticPr fontId="6" type="noConversion"/>
  </si>
  <si>
    <r>
      <t xml:space="preserve">        </t>
    </r>
    <r>
      <rPr>
        <sz val="10"/>
        <rFont val="華康粗圓體"/>
        <family val="3"/>
        <charset val="136"/>
      </rPr>
      <t>各區公所</t>
    </r>
    <phoneticPr fontId="6" type="noConversion"/>
  </si>
  <si>
    <t xml:space="preserve">         Administrative District Offices</t>
    <phoneticPr fontId="6" type="noConversion"/>
  </si>
  <si>
    <t xml:space="preserve">         Other Welfare Organizations </t>
    <phoneticPr fontId="6" type="noConversion"/>
  </si>
  <si>
    <r>
      <t xml:space="preserve">    </t>
    </r>
    <r>
      <rPr>
        <sz val="10"/>
        <rFont val="華康粗圓體"/>
        <family val="3"/>
        <charset val="136"/>
      </rPr>
      <t>公設民營機構</t>
    </r>
    <phoneticPr fontId="6" type="noConversion"/>
  </si>
  <si>
    <t xml:space="preserve">    Government-owned,Contractor-</t>
    <phoneticPr fontId="6" type="noConversion"/>
  </si>
  <si>
    <t xml:space="preserve">    operated Organizations</t>
    <phoneticPr fontId="6" type="noConversion"/>
  </si>
  <si>
    <t>Note : The items of "Protective Service" and "Others" were calculated since 2015.</t>
    <phoneticPr fontId="6" type="noConversion"/>
  </si>
  <si>
    <t>Collateral  Relative by Blood within  Four  Degrees  of  Kinship</t>
    <phoneticPr fontId="6" type="noConversion"/>
  </si>
  <si>
    <t xml:space="preserve">              , Maitreya Buddhism, Universe Maitreya Faith, the Red Swastika Society. Other churches included Tenrikyo , Bahaism , Mahikari</t>
    <phoneticPr fontId="6" type="noConversion"/>
  </si>
  <si>
    <t xml:space="preserve">              , the Church of Scientology,  the Holy Spirit Association for the Unification of World Christianity, and Church of Latter- Day Saints </t>
    <phoneticPr fontId="6" type="noConversion"/>
  </si>
  <si>
    <r>
      <t xml:space="preserve">               </t>
    </r>
    <r>
      <rPr>
        <sz val="10"/>
        <rFont val="華康粗圓體"/>
        <family val="3"/>
        <charset val="136"/>
      </rPr>
      <t>第</t>
    </r>
    <r>
      <rPr>
        <sz val="10"/>
        <rFont val="Arial Narrow"/>
        <family val="2"/>
      </rPr>
      <t>1</t>
    </r>
    <r>
      <rPr>
        <sz val="10"/>
        <rFont val="華康粗圓體"/>
        <family val="3"/>
        <charset val="136"/>
      </rPr>
      <t xml:space="preserve">季
</t>
    </r>
    <r>
      <rPr>
        <sz val="10"/>
        <rFont val="Arial Narrow"/>
        <family val="2"/>
      </rPr>
      <t xml:space="preserve">              1st Quarter</t>
    </r>
    <phoneticPr fontId="6" type="noConversion"/>
  </si>
  <si>
    <r>
      <t xml:space="preserve">               </t>
    </r>
    <r>
      <rPr>
        <sz val="10"/>
        <rFont val="華康粗圓體"/>
        <family val="3"/>
        <charset val="136"/>
      </rPr>
      <t>第</t>
    </r>
    <r>
      <rPr>
        <sz val="10"/>
        <rFont val="Arial Narrow"/>
        <family val="2"/>
      </rPr>
      <t>2</t>
    </r>
    <r>
      <rPr>
        <sz val="10"/>
        <rFont val="華康粗圓體"/>
        <family val="3"/>
        <charset val="136"/>
      </rPr>
      <t xml:space="preserve">季
</t>
    </r>
    <r>
      <rPr>
        <sz val="10"/>
        <rFont val="Arial Narrow"/>
        <family val="2"/>
      </rPr>
      <t xml:space="preserve">              2nd Quarter</t>
    </r>
    <phoneticPr fontId="6" type="noConversion"/>
  </si>
  <si>
    <r>
      <t xml:space="preserve">               </t>
    </r>
    <r>
      <rPr>
        <sz val="10"/>
        <rFont val="華康粗圓體"/>
        <family val="3"/>
        <charset val="136"/>
      </rPr>
      <t>第</t>
    </r>
    <r>
      <rPr>
        <sz val="10"/>
        <rFont val="Arial Narrow"/>
        <family val="2"/>
      </rPr>
      <t>3</t>
    </r>
    <r>
      <rPr>
        <sz val="10"/>
        <rFont val="華康粗圓體"/>
        <family val="3"/>
        <charset val="136"/>
      </rPr>
      <t xml:space="preserve">季
</t>
    </r>
    <r>
      <rPr>
        <sz val="10"/>
        <rFont val="Arial Narrow"/>
        <family val="2"/>
      </rPr>
      <t xml:space="preserve">              3rd Quarter</t>
    </r>
    <phoneticPr fontId="6" type="noConversion"/>
  </si>
  <si>
    <r>
      <t xml:space="preserve">               </t>
    </r>
    <r>
      <rPr>
        <sz val="10"/>
        <rFont val="華康粗圓體"/>
        <family val="3"/>
        <charset val="136"/>
      </rPr>
      <t>第</t>
    </r>
    <r>
      <rPr>
        <sz val="10"/>
        <rFont val="Arial Narrow"/>
        <family val="2"/>
      </rPr>
      <t>4</t>
    </r>
    <r>
      <rPr>
        <sz val="10"/>
        <rFont val="華康粗圓體"/>
        <family val="3"/>
        <charset val="136"/>
      </rPr>
      <t xml:space="preserve">季
</t>
    </r>
    <r>
      <rPr>
        <sz val="10"/>
        <rFont val="Arial Narrow"/>
        <family val="2"/>
      </rPr>
      <t xml:space="preserve">              4th Quarter</t>
    </r>
    <phoneticPr fontId="6" type="noConversion"/>
  </si>
  <si>
    <t>Grand Total (End of Year(Quarter))</t>
    <phoneticPr fontId="6" type="noConversion"/>
  </si>
  <si>
    <t>Note : 1.The person-times of employment counceling are counted as follows: sum (each one * months of each one</t>
    <phoneticPr fontId="6" type="noConversion"/>
  </si>
  <si>
    <t xml:space="preserve">             middle-low-income households were provided from then on.</t>
    <phoneticPr fontId="6" type="noConversion"/>
  </si>
  <si>
    <r>
      <rPr>
        <sz val="10"/>
        <rFont val="華康粗圓體"/>
        <family val="3"/>
        <charset val="136"/>
      </rPr>
      <t>社會福利</t>
    </r>
  </si>
  <si>
    <r>
      <rPr>
        <sz val="10"/>
        <rFont val="華康粗圓體"/>
        <family val="3"/>
        <charset val="136"/>
      </rPr>
      <t>單位：件</t>
    </r>
    <phoneticPr fontId="6" type="noConversion"/>
  </si>
  <si>
    <r>
      <rPr>
        <sz val="13"/>
        <rFont val="華康粗圓體"/>
        <family val="3"/>
        <charset val="136"/>
      </rPr>
      <t>表</t>
    </r>
    <r>
      <rPr>
        <sz val="13"/>
        <rFont val="Arial Narrow"/>
        <family val="2"/>
      </rPr>
      <t>11-22</t>
    </r>
    <r>
      <rPr>
        <sz val="13"/>
        <rFont val="華康粗圓體"/>
        <family val="3"/>
        <charset val="136"/>
      </rPr>
      <t>、家庭暴力通報案件</t>
    </r>
    <phoneticPr fontId="6" type="noConversion"/>
  </si>
  <si>
    <r>
      <rPr>
        <sz val="10"/>
        <rFont val="華康粗圓體"/>
        <family val="3"/>
        <charset val="136"/>
      </rPr>
      <t>資料來源：本府社會局。</t>
    </r>
    <phoneticPr fontId="6" type="noConversion"/>
  </si>
  <si>
    <r>
      <rPr>
        <sz val="13"/>
        <rFont val="華康粗圓體"/>
        <family val="3"/>
        <charset val="136"/>
      </rPr>
      <t>表</t>
    </r>
    <r>
      <rPr>
        <sz val="13"/>
        <rFont val="Arial Narrow"/>
        <family val="2"/>
      </rPr>
      <t>11-21</t>
    </r>
    <r>
      <rPr>
        <sz val="13"/>
        <rFont val="華康粗圓體"/>
        <family val="3"/>
        <charset val="136"/>
      </rPr>
      <t>、性侵害通報案件</t>
    </r>
    <phoneticPr fontId="6" type="noConversion"/>
  </si>
  <si>
    <r>
      <rPr>
        <sz val="13"/>
        <rFont val="華康粗圓體"/>
        <family val="3"/>
        <charset val="136"/>
      </rPr>
      <t>表</t>
    </r>
    <r>
      <rPr>
        <sz val="13"/>
        <rFont val="Arial Narrow"/>
        <family val="2"/>
      </rPr>
      <t>11-20</t>
    </r>
    <r>
      <rPr>
        <sz val="13"/>
        <rFont val="華康粗圓體"/>
        <family val="3"/>
        <charset val="136"/>
      </rPr>
      <t>、社會福利工作人員數（續</t>
    </r>
    <r>
      <rPr>
        <sz val="13"/>
        <rFont val="Arial Narrow"/>
        <family val="2"/>
      </rPr>
      <t xml:space="preserve"> 3 </t>
    </r>
    <r>
      <rPr>
        <sz val="13"/>
        <rFont val="華康粗圓體"/>
        <family val="3"/>
        <charset val="136"/>
      </rPr>
      <t>完）</t>
    </r>
    <r>
      <rPr>
        <sz val="13"/>
        <rFont val="Arial Narrow"/>
        <family val="2"/>
      </rPr>
      <t xml:space="preserve">          </t>
    </r>
    <phoneticPr fontId="6" type="noConversion"/>
  </si>
  <si>
    <r>
      <rPr>
        <sz val="10"/>
        <rFont val="華康粗圓體"/>
        <family val="3"/>
        <charset val="136"/>
      </rPr>
      <t>單位：人</t>
    </r>
    <phoneticPr fontId="4" type="noConversion"/>
  </si>
  <si>
    <r>
      <rPr>
        <sz val="10"/>
        <rFont val="華康粗圓體"/>
        <family val="3"/>
        <charset val="136"/>
      </rPr>
      <t>其他</t>
    </r>
    <r>
      <rPr>
        <sz val="10"/>
        <rFont val="Arial Narrow"/>
        <family val="2"/>
      </rPr>
      <t xml:space="preserve"> Others</t>
    </r>
    <phoneticPr fontId="4" type="noConversion"/>
  </si>
  <si>
    <r>
      <rPr>
        <sz val="10"/>
        <rFont val="華康粗圓體"/>
        <family val="3"/>
        <charset val="136"/>
      </rPr>
      <t>行政人員</t>
    </r>
    <phoneticPr fontId="4" type="noConversion"/>
  </si>
  <si>
    <r>
      <rPr>
        <sz val="10"/>
        <rFont val="華康粗圓體"/>
        <family val="3"/>
        <charset val="136"/>
      </rPr>
      <t>社會工作
人員</t>
    </r>
    <phoneticPr fontId="4" type="noConversion"/>
  </si>
  <si>
    <r>
      <rPr>
        <sz val="10"/>
        <rFont val="華康粗圓體"/>
        <family val="3"/>
        <charset val="136"/>
      </rPr>
      <t>其他人員</t>
    </r>
    <phoneticPr fontId="4" type="noConversion"/>
  </si>
  <si>
    <r>
      <rPr>
        <sz val="10"/>
        <rFont val="華康粗圓體"/>
        <family val="3"/>
        <charset val="136"/>
      </rPr>
      <t>說明：自</t>
    </r>
    <r>
      <rPr>
        <sz val="10"/>
        <rFont val="Arial Narrow"/>
        <family val="2"/>
      </rPr>
      <t>104</t>
    </r>
    <r>
      <rPr>
        <sz val="10"/>
        <rFont val="華康粗圓體"/>
        <family val="3"/>
        <charset val="136"/>
      </rPr>
      <t>年起，本表新增「保護服務」及「其他」統計項目。</t>
    </r>
    <phoneticPr fontId="4" type="noConversion"/>
  </si>
  <si>
    <r>
      <rPr>
        <sz val="13"/>
        <rFont val="華康粗圓體"/>
        <family val="3"/>
        <charset val="136"/>
      </rPr>
      <t>表</t>
    </r>
    <r>
      <rPr>
        <sz val="13"/>
        <rFont val="Arial Narrow"/>
        <family val="2"/>
      </rPr>
      <t>11-20</t>
    </r>
    <r>
      <rPr>
        <sz val="13"/>
        <rFont val="華康粗圓體"/>
        <family val="3"/>
        <charset val="136"/>
      </rPr>
      <t>、社會福利工作人員數（續</t>
    </r>
    <r>
      <rPr>
        <sz val="13"/>
        <rFont val="Arial Narrow"/>
        <family val="2"/>
      </rPr>
      <t xml:space="preserve"> 2</t>
    </r>
    <r>
      <rPr>
        <sz val="13"/>
        <rFont val="華康粗圓體"/>
        <family val="3"/>
        <charset val="136"/>
      </rPr>
      <t>）</t>
    </r>
    <r>
      <rPr>
        <sz val="13"/>
        <rFont val="Arial Narrow"/>
        <family val="2"/>
      </rPr>
      <t xml:space="preserve">          </t>
    </r>
    <phoneticPr fontId="6" type="noConversion"/>
  </si>
  <si>
    <r>
      <rPr>
        <sz val="10"/>
        <rFont val="華康粗圓體"/>
        <family val="3"/>
        <charset val="136"/>
      </rPr>
      <t>社會救助</t>
    </r>
    <r>
      <rPr>
        <sz val="10"/>
        <rFont val="Arial Narrow"/>
        <family val="2"/>
      </rPr>
      <t xml:space="preserve"> Social Assistance</t>
    </r>
    <phoneticPr fontId="4" type="noConversion"/>
  </si>
  <si>
    <r>
      <rPr>
        <sz val="13"/>
        <rFont val="華康粗圓體"/>
        <family val="3"/>
        <charset val="136"/>
      </rPr>
      <t>表</t>
    </r>
    <r>
      <rPr>
        <sz val="13"/>
        <rFont val="Arial Narrow"/>
        <family val="2"/>
      </rPr>
      <t>11-20</t>
    </r>
    <r>
      <rPr>
        <sz val="13"/>
        <rFont val="華康粗圓體"/>
        <family val="3"/>
        <charset val="136"/>
      </rPr>
      <t>、社會福利工作人員數</t>
    </r>
    <r>
      <rPr>
        <sz val="13"/>
        <rFont val="Arial Narrow"/>
        <family val="2"/>
      </rPr>
      <t xml:space="preserve"> </t>
    </r>
    <r>
      <rPr>
        <sz val="13"/>
        <rFont val="華康粗圓體"/>
        <family val="3"/>
        <charset val="136"/>
      </rPr>
      <t>（續</t>
    </r>
    <r>
      <rPr>
        <sz val="13"/>
        <rFont val="Arial Narrow"/>
        <family val="2"/>
      </rPr>
      <t xml:space="preserve"> 1</t>
    </r>
    <r>
      <rPr>
        <sz val="13"/>
        <rFont val="華康粗圓體"/>
        <family val="3"/>
        <charset val="136"/>
      </rPr>
      <t>）</t>
    </r>
    <phoneticPr fontId="6" type="noConversion"/>
  </si>
  <si>
    <r>
      <rPr>
        <sz val="10"/>
        <rFont val="華康粗圓體"/>
        <family val="3"/>
        <charset val="136"/>
      </rPr>
      <t>老人福利</t>
    </r>
    <r>
      <rPr>
        <sz val="10"/>
        <rFont val="Arial Narrow"/>
        <family val="2"/>
      </rPr>
      <t xml:space="preserve"> The Elderly Welfare</t>
    </r>
    <phoneticPr fontId="4" type="noConversion"/>
  </si>
  <si>
    <r>
      <rPr>
        <sz val="10"/>
        <rFont val="華康粗圓體"/>
        <family val="3"/>
        <charset val="136"/>
      </rPr>
      <t>身心障礙福利</t>
    </r>
    <r>
      <rPr>
        <sz val="10"/>
        <rFont val="Arial Narrow"/>
        <family val="2"/>
      </rPr>
      <t xml:space="preserve"> Disabled Welfare</t>
    </r>
    <phoneticPr fontId="4" type="noConversion"/>
  </si>
  <si>
    <r>
      <rPr>
        <sz val="10"/>
        <rFont val="華康粗圓體"/>
        <family val="3"/>
        <charset val="136"/>
      </rPr>
      <t>總計</t>
    </r>
    <r>
      <rPr>
        <sz val="10"/>
        <rFont val="Arial Narrow"/>
        <family val="2"/>
      </rPr>
      <t xml:space="preserve"> Grand Total</t>
    </r>
    <phoneticPr fontId="4" type="noConversion"/>
  </si>
  <si>
    <r>
      <rPr>
        <sz val="10"/>
        <rFont val="華康粗圓體"/>
        <family val="3"/>
        <charset val="136"/>
      </rPr>
      <t>婦女福利</t>
    </r>
    <r>
      <rPr>
        <sz val="10"/>
        <rFont val="Arial Narrow"/>
        <family val="2"/>
      </rPr>
      <t xml:space="preserve"> Women Welfare</t>
    </r>
    <phoneticPr fontId="4" type="noConversion"/>
  </si>
  <si>
    <r>
      <rPr>
        <sz val="10"/>
        <rFont val="華康粗圓體"/>
        <family val="3"/>
        <charset val="136"/>
      </rPr>
      <t>說　　明：</t>
    </r>
    <r>
      <rPr>
        <sz val="10"/>
        <rFont val="Arial Narrow"/>
        <family val="2"/>
      </rPr>
      <t>1.</t>
    </r>
    <r>
      <rPr>
        <sz val="10"/>
        <rFont val="華康粗圓體"/>
        <family val="3"/>
        <charset val="136"/>
      </rPr>
      <t>本表數字依個人實際承辦該項業務付出時間占實際上班時間之比率換算而成。</t>
    </r>
    <phoneticPr fontId="4" type="noConversion"/>
  </si>
  <si>
    <r>
      <rPr>
        <sz val="10"/>
        <rFont val="華康粗圓體"/>
        <family val="3"/>
        <charset val="136"/>
      </rPr>
      <t>　　　　　</t>
    </r>
    <r>
      <rPr>
        <sz val="8.5"/>
        <rFont val="Arial Narrow"/>
        <family val="2"/>
      </rPr>
      <t/>
    </r>
    <phoneticPr fontId="4" type="noConversion"/>
  </si>
  <si>
    <r>
      <rPr>
        <sz val="13"/>
        <rFont val="華康粗圓體"/>
        <family val="3"/>
        <charset val="136"/>
      </rPr>
      <t>表</t>
    </r>
    <r>
      <rPr>
        <sz val="13"/>
        <rFont val="Arial Narrow"/>
        <family val="2"/>
      </rPr>
      <t>11-19</t>
    </r>
    <r>
      <rPr>
        <sz val="13"/>
        <rFont val="華康粗圓體"/>
        <family val="3"/>
        <charset val="136"/>
      </rPr>
      <t>、特殊境遇家庭扶助服務概況</t>
    </r>
    <phoneticPr fontId="6" type="noConversion"/>
  </si>
  <si>
    <r>
      <rPr>
        <sz val="10"/>
        <rFont val="華康粗圓體"/>
        <family val="3"/>
        <charset val="136"/>
      </rPr>
      <t>單位：人次；元</t>
    </r>
    <phoneticPr fontId="4" type="noConversion"/>
  </si>
  <si>
    <r>
      <rPr>
        <sz val="10"/>
        <rFont val="華康粗圓體"/>
        <family val="3"/>
        <charset val="136"/>
      </rPr>
      <t>說　　明：緊急生活扶助、子女生活津貼及兒童托育津貼之人次為先將每人乘以受補助月數後，</t>
    </r>
    <phoneticPr fontId="6" type="noConversion"/>
  </si>
  <si>
    <r>
      <rPr>
        <sz val="10"/>
        <rFont val="華康粗圓體"/>
        <family val="3"/>
        <charset val="136"/>
      </rPr>
      <t>　　　　　再予以加總而得。</t>
    </r>
    <phoneticPr fontId="6" type="noConversion"/>
  </si>
  <si>
    <r>
      <rPr>
        <sz val="10"/>
        <rFont val="華康粗圓體"/>
        <family val="3"/>
        <charset val="136"/>
      </rPr>
      <t xml:space="preserve">家庭訪視
</t>
    </r>
    <r>
      <rPr>
        <sz val="10"/>
        <rFont val="Arial Narrow"/>
        <family val="2"/>
      </rPr>
      <t>(</t>
    </r>
    <r>
      <rPr>
        <sz val="10"/>
        <rFont val="華康粗圓體"/>
        <family val="3"/>
        <charset val="136"/>
      </rPr>
      <t>人次</t>
    </r>
    <r>
      <rPr>
        <sz val="10"/>
        <rFont val="Arial Narrow"/>
        <family val="2"/>
      </rPr>
      <t>)</t>
    </r>
    <phoneticPr fontId="4" type="noConversion"/>
  </si>
  <si>
    <r>
      <rPr>
        <sz val="13"/>
        <rFont val="華康粗圓體"/>
        <family val="3"/>
        <charset val="136"/>
      </rPr>
      <t>表</t>
    </r>
    <r>
      <rPr>
        <sz val="13"/>
        <rFont val="Arial Narrow"/>
        <family val="2"/>
      </rPr>
      <t>11-17</t>
    </r>
    <r>
      <rPr>
        <sz val="13"/>
        <rFont val="華康粗圓體"/>
        <family val="3"/>
        <charset val="136"/>
      </rPr>
      <t>、托育機構概況</t>
    </r>
    <phoneticPr fontId="6" type="noConversion"/>
  </si>
  <si>
    <r>
      <rPr>
        <sz val="10"/>
        <rFont val="華康粗圓體"/>
        <family val="3"/>
        <charset val="136"/>
      </rPr>
      <t>單位：所；人</t>
    </r>
    <phoneticPr fontId="4" type="noConversion"/>
  </si>
  <si>
    <r>
      <rPr>
        <sz val="10"/>
        <rFont val="華康粗圓體"/>
        <family val="3"/>
        <charset val="136"/>
      </rPr>
      <t>公立托兒所</t>
    </r>
    <phoneticPr fontId="4" type="noConversion"/>
  </si>
  <si>
    <r>
      <rPr>
        <sz val="10"/>
        <rFont val="華康粗圓體"/>
        <family val="3"/>
        <charset val="136"/>
      </rPr>
      <t>私立托嬰中心</t>
    </r>
    <phoneticPr fontId="4" type="noConversion"/>
  </si>
  <si>
    <r>
      <rPr>
        <sz val="10"/>
        <rFont val="華康粗圓體"/>
        <family val="3"/>
        <charset val="136"/>
      </rPr>
      <t>公設民營托嬰中心</t>
    </r>
    <phoneticPr fontId="4" type="noConversion"/>
  </si>
  <si>
    <r>
      <rPr>
        <sz val="10"/>
        <rFont val="華康粗圓體"/>
        <family val="3"/>
        <charset val="136"/>
      </rPr>
      <t>兒童課後照顧服務中心</t>
    </r>
    <phoneticPr fontId="4" type="noConversion"/>
  </si>
  <si>
    <r>
      <rPr>
        <sz val="10"/>
        <rFont val="華康粗圓體"/>
        <family val="3"/>
        <charset val="136"/>
      </rPr>
      <t>資料來源：本府社會局、教育局。</t>
    </r>
    <phoneticPr fontId="6" type="noConversion"/>
  </si>
  <si>
    <r>
      <rPr>
        <sz val="13"/>
        <rFont val="華康粗圓體"/>
        <family val="3"/>
        <charset val="136"/>
      </rPr>
      <t>表</t>
    </r>
    <r>
      <rPr>
        <sz val="13"/>
        <rFont val="Arial Narrow"/>
        <family val="2"/>
      </rPr>
      <t>11-16</t>
    </r>
    <r>
      <rPr>
        <sz val="13"/>
        <rFont val="華康粗圓體"/>
        <family val="3"/>
        <charset val="136"/>
      </rPr>
      <t>、兒童及少年福利服務概況</t>
    </r>
    <phoneticPr fontId="6" type="noConversion"/>
  </si>
  <si>
    <r>
      <rPr>
        <sz val="10"/>
        <rFont val="華康粗圓體"/>
        <family val="3"/>
        <charset val="136"/>
      </rPr>
      <t>單位：所；人；人次；千元</t>
    </r>
    <phoneticPr fontId="6" type="noConversion"/>
  </si>
  <si>
    <r>
      <rPr>
        <sz val="10"/>
        <rFont val="華康粗圓體"/>
        <family val="3"/>
        <charset val="136"/>
      </rPr>
      <t>兒童及少年福利機構</t>
    </r>
    <phoneticPr fontId="6" type="noConversion"/>
  </si>
  <si>
    <r>
      <rPr>
        <sz val="10"/>
        <rFont val="華康粗圓體"/>
        <family val="3"/>
        <charset val="136"/>
      </rPr>
      <t>弱勢兒童及少年</t>
    </r>
    <phoneticPr fontId="6" type="noConversion"/>
  </si>
  <si>
    <r>
      <rPr>
        <sz val="10"/>
        <rFont val="華康粗圓體"/>
        <family val="3"/>
        <charset val="136"/>
      </rPr>
      <t>說　　明：弱勢兒童及少年各項扶</t>
    </r>
    <r>
      <rPr>
        <sz val="10"/>
        <rFont val="Arial Narrow"/>
        <family val="2"/>
      </rPr>
      <t>(</t>
    </r>
    <r>
      <rPr>
        <sz val="10"/>
        <rFont val="華康粗圓體"/>
        <family val="3"/>
        <charset val="136"/>
      </rPr>
      <t>補</t>
    </r>
    <r>
      <rPr>
        <sz val="10"/>
        <rFont val="Arial Narrow"/>
        <family val="2"/>
      </rPr>
      <t>)</t>
    </r>
    <r>
      <rPr>
        <sz val="10"/>
        <rFont val="華康粗圓體"/>
        <family val="3"/>
        <charset val="136"/>
      </rPr>
      <t>助之人次為先將每人乘以受補助月數後，再予以加總而得。</t>
    </r>
    <phoneticPr fontId="6" type="noConversion"/>
  </si>
  <si>
    <r>
      <rPr>
        <sz val="13"/>
        <rFont val="華康粗圓體"/>
        <family val="3"/>
        <charset val="136"/>
      </rPr>
      <t>表</t>
    </r>
    <r>
      <rPr>
        <sz val="13"/>
        <rFont val="Arial Narrow"/>
        <family val="2"/>
      </rPr>
      <t>11-15</t>
    </r>
    <r>
      <rPr>
        <sz val="13"/>
        <rFont val="華康粗圓體"/>
        <family val="3"/>
        <charset val="136"/>
      </rPr>
      <t>、老人福利服務概況（續）</t>
    </r>
    <phoneticPr fontId="6" type="noConversion"/>
  </si>
  <si>
    <r>
      <rPr>
        <sz val="10"/>
        <rFont val="華康粗圓體"/>
        <family val="3"/>
        <charset val="136"/>
      </rPr>
      <t>單位：人；人次</t>
    </r>
    <phoneticPr fontId="6" type="noConversion"/>
  </si>
  <si>
    <r>
      <rPr>
        <sz val="10"/>
        <rFont val="華康粗圓體"/>
        <family val="3"/>
        <charset val="136"/>
      </rPr>
      <t>開　　班
參加人數</t>
    </r>
    <phoneticPr fontId="6" type="noConversion"/>
  </si>
  <si>
    <r>
      <rPr>
        <sz val="10"/>
        <rFont val="華康粗圓體"/>
        <family val="3"/>
        <charset val="136"/>
      </rPr>
      <t>年底人數</t>
    </r>
    <phoneticPr fontId="6" type="noConversion"/>
  </si>
  <si>
    <r>
      <rPr>
        <sz val="13"/>
        <rFont val="華康粗圓體"/>
        <family val="3"/>
        <charset val="136"/>
      </rPr>
      <t>表</t>
    </r>
    <r>
      <rPr>
        <sz val="13"/>
        <rFont val="Arial Narrow"/>
        <family val="2"/>
      </rPr>
      <t>11-15</t>
    </r>
    <r>
      <rPr>
        <sz val="13"/>
        <rFont val="華康粗圓體"/>
        <family val="3"/>
        <charset val="136"/>
      </rPr>
      <t>、老人福利服務概況</t>
    </r>
    <phoneticPr fontId="6" type="noConversion"/>
  </si>
  <si>
    <r>
      <rPr>
        <sz val="10"/>
        <rFont val="華康粗圓體"/>
        <family val="3"/>
        <charset val="136"/>
      </rPr>
      <t>單位：所；人；人次</t>
    </r>
    <phoneticPr fontId="6" type="noConversion"/>
  </si>
  <si>
    <r>
      <rPr>
        <sz val="10"/>
        <rFont val="華康粗圓體"/>
        <family val="3"/>
        <charset val="136"/>
      </rPr>
      <t>年底社區安養堂</t>
    </r>
    <phoneticPr fontId="6" type="noConversion"/>
  </si>
  <si>
    <r>
      <rPr>
        <sz val="13"/>
        <rFont val="華康粗圓體"/>
        <family val="3"/>
        <charset val="136"/>
      </rPr>
      <t>表</t>
    </r>
    <r>
      <rPr>
        <sz val="13"/>
        <rFont val="Arial Narrow"/>
        <family val="2"/>
      </rPr>
      <t>11-14</t>
    </r>
    <r>
      <rPr>
        <sz val="13"/>
        <rFont val="華康粗圓體"/>
        <family val="3"/>
        <charset val="136"/>
      </rPr>
      <t>、遊民人數及處理情形</t>
    </r>
    <r>
      <rPr>
        <sz val="12"/>
        <rFont val="Arial"/>
        <family val="2"/>
      </rPr>
      <t/>
    </r>
    <phoneticPr fontId="6" type="noConversion"/>
  </si>
  <si>
    <r>
      <rPr>
        <sz val="10"/>
        <rFont val="華康粗圓體"/>
        <family val="3"/>
        <charset val="136"/>
      </rPr>
      <t>合　計</t>
    </r>
    <phoneticPr fontId="6" type="noConversion"/>
  </si>
  <si>
    <r>
      <rPr>
        <sz val="10"/>
        <rFont val="華康粗圓體"/>
        <family val="3"/>
        <charset val="136"/>
      </rPr>
      <t>轉介福利
服　　務</t>
    </r>
    <phoneticPr fontId="6" type="noConversion"/>
  </si>
  <si>
    <r>
      <rPr>
        <sz val="10"/>
        <rFont val="華康粗圓體"/>
        <family val="3"/>
        <charset val="136"/>
      </rPr>
      <t>轉介就業
服務或
職業訓練</t>
    </r>
    <phoneticPr fontId="6" type="noConversion"/>
  </si>
  <si>
    <r>
      <rPr>
        <sz val="10"/>
        <rFont val="華康粗圓體"/>
        <family val="3"/>
        <charset val="136"/>
      </rPr>
      <t>結合資源
輔導租屋</t>
    </r>
    <phoneticPr fontId="6" type="noConversion"/>
  </si>
  <si>
    <r>
      <rPr>
        <sz val="10"/>
        <rFont val="華康粗圓體"/>
        <family val="3"/>
        <charset val="136"/>
      </rPr>
      <t>收</t>
    </r>
    <r>
      <rPr>
        <sz val="10"/>
        <rFont val="Arial Narrow"/>
        <family val="2"/>
      </rPr>
      <t xml:space="preserve">  </t>
    </r>
    <r>
      <rPr>
        <sz val="10"/>
        <rFont val="華康粗圓體"/>
        <family val="3"/>
        <charset val="136"/>
      </rPr>
      <t>容</t>
    </r>
    <r>
      <rPr>
        <sz val="10"/>
        <rFont val="Arial Narrow"/>
        <family val="2"/>
      </rPr>
      <t xml:space="preserve">  </t>
    </r>
    <r>
      <rPr>
        <sz val="10"/>
        <rFont val="華康粗圓體"/>
        <family val="3"/>
        <charset val="136"/>
      </rPr>
      <t>情</t>
    </r>
    <r>
      <rPr>
        <sz val="10"/>
        <rFont val="Arial Narrow"/>
        <family val="2"/>
      </rPr>
      <t xml:space="preserve">  </t>
    </r>
    <r>
      <rPr>
        <sz val="10"/>
        <rFont val="華康粗圓體"/>
        <family val="3"/>
        <charset val="136"/>
      </rPr>
      <t>形</t>
    </r>
    <r>
      <rPr>
        <sz val="10"/>
        <rFont val="Arial Narrow"/>
        <family val="2"/>
      </rPr>
      <t xml:space="preserve">  Status of Settle Down</t>
    </r>
    <phoneticPr fontId="6" type="noConversion"/>
  </si>
  <si>
    <r>
      <rPr>
        <sz val="10"/>
        <rFont val="華康粗圓體"/>
        <family val="3"/>
        <charset val="136"/>
      </rPr>
      <t>精　神
療養院</t>
    </r>
    <phoneticPr fontId="6" type="noConversion"/>
  </si>
  <si>
    <r>
      <rPr>
        <sz val="10"/>
        <rFont val="華康粗圓體"/>
        <family val="3"/>
        <charset val="136"/>
      </rPr>
      <t>遊　民
收容所</t>
    </r>
    <phoneticPr fontId="6" type="noConversion"/>
  </si>
  <si>
    <r>
      <rPr>
        <sz val="10"/>
        <rFont val="華康粗圓體"/>
        <family val="3"/>
        <charset val="136"/>
      </rPr>
      <t>其他有關
機　　關</t>
    </r>
    <phoneticPr fontId="6" type="noConversion"/>
  </si>
  <si>
    <r>
      <rPr>
        <sz val="13"/>
        <rFont val="華康粗圓體"/>
        <family val="3"/>
        <charset val="136"/>
      </rPr>
      <t>表</t>
    </r>
    <r>
      <rPr>
        <sz val="13"/>
        <rFont val="Arial Narrow"/>
        <family val="2"/>
      </rPr>
      <t>11-13</t>
    </r>
    <r>
      <rPr>
        <sz val="13"/>
        <rFont val="華康粗圓體"/>
        <family val="3"/>
        <charset val="136"/>
      </rPr>
      <t>、遭受災害救助情形</t>
    </r>
    <phoneticPr fontId="6" type="noConversion"/>
  </si>
  <si>
    <r>
      <rPr>
        <sz val="10"/>
        <rFont val="華康粗圓體"/>
        <family val="3"/>
        <charset val="136"/>
      </rPr>
      <t>社會福利</t>
    </r>
    <phoneticPr fontId="6" type="noConversion"/>
  </si>
  <si>
    <r>
      <rPr>
        <sz val="13"/>
        <rFont val="華康粗圓體"/>
        <family val="3"/>
        <charset val="136"/>
      </rPr>
      <t>表</t>
    </r>
    <r>
      <rPr>
        <sz val="13"/>
        <rFont val="Arial Narrow"/>
        <family val="2"/>
      </rPr>
      <t>11-12</t>
    </r>
    <r>
      <rPr>
        <sz val="13"/>
        <rFont val="華康粗圓體"/>
        <family val="3"/>
        <charset val="136"/>
      </rPr>
      <t>、辦理急難救助概況（續）</t>
    </r>
    <phoneticPr fontId="6" type="noConversion"/>
  </si>
  <si>
    <r>
      <rPr>
        <sz val="13"/>
        <rFont val="華康粗圓體"/>
        <family val="3"/>
        <charset val="136"/>
      </rPr>
      <t>表</t>
    </r>
    <r>
      <rPr>
        <sz val="13"/>
        <rFont val="Arial Narrow"/>
        <family val="2"/>
      </rPr>
      <t>11-12</t>
    </r>
    <r>
      <rPr>
        <sz val="13"/>
        <rFont val="華康粗圓體"/>
        <family val="3"/>
        <charset val="136"/>
      </rPr>
      <t>、辦理急難救助概況</t>
    </r>
    <phoneticPr fontId="6" type="noConversion"/>
  </si>
  <si>
    <r>
      <rPr>
        <sz val="10"/>
        <rFont val="華康粗圓體"/>
        <family val="3"/>
        <charset val="136"/>
      </rPr>
      <t>死亡無力殮葬者</t>
    </r>
    <phoneticPr fontId="4" type="noConversion"/>
  </si>
  <si>
    <r>
      <rPr>
        <sz val="10"/>
        <rFont val="華康粗圓體"/>
        <family val="3"/>
        <charset val="136"/>
      </rPr>
      <t>遭受意外傷害或罹患
重病致生活陷於困境者</t>
    </r>
    <phoneticPr fontId="4" type="noConversion"/>
  </si>
  <si>
    <r>
      <rPr>
        <sz val="13"/>
        <rFont val="華康粗圓體"/>
        <family val="3"/>
        <charset val="136"/>
      </rPr>
      <t>表</t>
    </r>
    <r>
      <rPr>
        <sz val="13"/>
        <rFont val="Arial Narrow"/>
        <family val="2"/>
      </rPr>
      <t>11-11</t>
    </r>
    <r>
      <rPr>
        <sz val="13"/>
        <rFont val="華康粗圓體"/>
        <family val="3"/>
        <charset val="136"/>
      </rPr>
      <t>、辦理社會救助醫療補助概況</t>
    </r>
    <phoneticPr fontId="6" type="noConversion"/>
  </si>
  <si>
    <r>
      <rPr>
        <sz val="10"/>
        <rFont val="華康粗圓體"/>
        <family val="3"/>
        <charset val="136"/>
      </rPr>
      <t>單位：人次；日；元</t>
    </r>
    <phoneticPr fontId="6" type="noConversion"/>
  </si>
  <si>
    <r>
      <rPr>
        <sz val="10"/>
        <rFont val="華康粗圓體"/>
        <family val="3"/>
        <charset val="136"/>
      </rPr>
      <t>住院人次</t>
    </r>
    <phoneticPr fontId="4" type="noConversion"/>
  </si>
  <si>
    <r>
      <rPr>
        <sz val="10"/>
        <rFont val="華康粗圓體"/>
        <family val="3"/>
        <charset val="136"/>
      </rPr>
      <t>住院總日數</t>
    </r>
    <phoneticPr fontId="4" type="noConversion"/>
  </si>
  <si>
    <r>
      <rPr>
        <sz val="10"/>
        <rFont val="華康粗圓體"/>
        <family val="3"/>
        <charset val="136"/>
      </rPr>
      <t>住院醫療補助</t>
    </r>
    <phoneticPr fontId="4" type="noConversion"/>
  </si>
  <si>
    <r>
      <rPr>
        <sz val="10"/>
        <rFont val="華康粗圓體"/>
        <family val="3"/>
        <charset val="136"/>
      </rPr>
      <t>門　　診
醫療補助</t>
    </r>
    <phoneticPr fontId="4" type="noConversion"/>
  </si>
  <si>
    <r>
      <rPr>
        <sz val="13"/>
        <rFont val="華康粗圓體"/>
        <family val="3"/>
        <charset val="136"/>
      </rPr>
      <t>表</t>
    </r>
    <r>
      <rPr>
        <sz val="13"/>
        <rFont val="Arial Narrow"/>
        <family val="2"/>
      </rPr>
      <t>11-10</t>
    </r>
    <r>
      <rPr>
        <sz val="13"/>
        <rFont val="華康粗圓體"/>
        <family val="3"/>
        <charset val="136"/>
      </rPr>
      <t>、中低收入老人生活津貼與老農津貼（續）</t>
    </r>
    <phoneticPr fontId="6" type="noConversion"/>
  </si>
  <si>
    <r>
      <rPr>
        <sz val="10"/>
        <rFont val="華康粗圓體"/>
        <family val="3"/>
        <charset val="136"/>
      </rPr>
      <t>單位：人；千元</t>
    </r>
    <phoneticPr fontId="4" type="noConversion"/>
  </si>
  <si>
    <r>
      <rPr>
        <sz val="10"/>
        <rFont val="華康粗圓體"/>
        <family val="3"/>
        <charset val="136"/>
      </rPr>
      <t>老　農　津　貼</t>
    </r>
    <phoneticPr fontId="6" type="noConversion"/>
  </si>
  <si>
    <r>
      <rPr>
        <sz val="10"/>
        <rFont val="華康粗圓體"/>
        <family val="3"/>
        <charset val="136"/>
      </rPr>
      <t>核付人數</t>
    </r>
    <phoneticPr fontId="4" type="noConversion"/>
  </si>
  <si>
    <r>
      <rPr>
        <sz val="10"/>
        <rFont val="華康粗圓體"/>
        <family val="3"/>
        <charset val="136"/>
      </rPr>
      <t>第二款</t>
    </r>
    <phoneticPr fontId="4" type="noConversion"/>
  </si>
  <si>
    <r>
      <rPr>
        <sz val="10"/>
        <rFont val="華康粗圓體"/>
        <family val="3"/>
        <charset val="136"/>
      </rPr>
      <t>說明：</t>
    </r>
    <r>
      <rPr>
        <sz val="10"/>
        <rFont val="Arial Narrow"/>
        <family val="2"/>
      </rPr>
      <t>1.</t>
    </r>
    <r>
      <rPr>
        <sz val="10"/>
        <rFont val="華康粗圓體"/>
        <family val="3"/>
        <charset val="136"/>
      </rPr>
      <t>輔導就業服務之人次為先將每人乘以接受服務月數後，再予以加總而得。</t>
    </r>
    <phoneticPr fontId="6" type="noConversion"/>
  </si>
  <si>
    <r>
      <rPr>
        <sz val="10"/>
        <color indexed="9"/>
        <rFont val="華康粗圓體"/>
        <family val="3"/>
        <charset val="136"/>
      </rPr>
      <t>說明：</t>
    </r>
    <r>
      <rPr>
        <sz val="10"/>
        <rFont val="Arial Narrow"/>
        <family val="2"/>
      </rPr>
      <t>2.99</t>
    </r>
    <r>
      <rPr>
        <sz val="10"/>
        <rFont val="華康粗圓體"/>
        <family val="3"/>
        <charset val="136"/>
      </rPr>
      <t>年</t>
    </r>
    <r>
      <rPr>
        <sz val="10"/>
        <rFont val="Arial Narrow"/>
        <family val="2"/>
      </rPr>
      <t>12</t>
    </r>
    <r>
      <rPr>
        <sz val="10"/>
        <rFont val="華康粗圓體"/>
        <family val="3"/>
        <charset val="136"/>
      </rPr>
      <t>月修正社會救助法，自</t>
    </r>
    <r>
      <rPr>
        <sz val="10"/>
        <rFont val="Arial Narrow"/>
        <family val="2"/>
      </rPr>
      <t>100</t>
    </r>
    <r>
      <rPr>
        <sz val="10"/>
        <rFont val="華康粗圓體"/>
        <family val="3"/>
        <charset val="136"/>
      </rPr>
      <t>年</t>
    </r>
    <r>
      <rPr>
        <sz val="10"/>
        <rFont val="Arial Narrow"/>
        <family val="2"/>
      </rPr>
      <t>7</t>
    </r>
    <r>
      <rPr>
        <sz val="10"/>
        <rFont val="華康粗圓體"/>
        <family val="3"/>
        <charset val="136"/>
      </rPr>
      <t>月增加中低收入戶扶助對象。</t>
    </r>
    <phoneticPr fontId="6" type="noConversion"/>
  </si>
  <si>
    <r>
      <rPr>
        <sz val="10"/>
        <color indexed="9"/>
        <rFont val="Arial Narrow"/>
        <family val="2"/>
      </rPr>
      <t xml:space="preserve">Note : </t>
    </r>
    <r>
      <rPr>
        <sz val="10"/>
        <rFont val="Arial Narrow"/>
        <family val="2"/>
      </rPr>
      <t xml:space="preserve">2.Since "Public Assistance Act",amended and promulgated on Dec 2010,was enacted on July 2011,the assistance for </t>
    </r>
    <phoneticPr fontId="6" type="noConversion"/>
  </si>
  <si>
    <r>
      <rPr>
        <sz val="13"/>
        <rFont val="華康粗圓體"/>
        <family val="3"/>
        <charset val="136"/>
      </rPr>
      <t>表</t>
    </r>
    <r>
      <rPr>
        <sz val="13"/>
        <rFont val="Arial Narrow"/>
        <family val="2"/>
      </rPr>
      <t>11-8</t>
    </r>
    <r>
      <rPr>
        <sz val="13"/>
        <rFont val="華康粗圓體"/>
        <family val="3"/>
        <charset val="136"/>
      </rPr>
      <t>、低收入戶人數及生活扶助（續）</t>
    </r>
    <phoneticPr fontId="6" type="noConversion"/>
  </si>
  <si>
    <r>
      <rPr>
        <sz val="10"/>
        <rFont val="華康粗圓體"/>
        <family val="3"/>
        <charset val="136"/>
      </rPr>
      <t>單位：人；人次；千元；戶次</t>
    </r>
    <phoneticPr fontId="6" type="noConversion"/>
  </si>
  <si>
    <r>
      <rPr>
        <sz val="13"/>
        <rFont val="華康粗圓體"/>
        <family val="3"/>
        <charset val="136"/>
      </rPr>
      <t>表</t>
    </r>
    <r>
      <rPr>
        <sz val="13"/>
        <rFont val="Arial Narrow"/>
        <family val="2"/>
      </rPr>
      <t>11-8</t>
    </r>
    <r>
      <rPr>
        <sz val="13"/>
        <rFont val="華康粗圓體"/>
        <family val="3"/>
        <charset val="136"/>
      </rPr>
      <t>、低收入戶人數及生活扶助</t>
    </r>
    <phoneticPr fontId="6" type="noConversion"/>
  </si>
  <si>
    <r>
      <rPr>
        <sz val="10"/>
        <rFont val="華康粗圓體"/>
        <family val="3"/>
        <charset val="136"/>
      </rPr>
      <t>單位：戶；人；人次；戶次；千元</t>
    </r>
    <phoneticPr fontId="6" type="noConversion"/>
  </si>
  <si>
    <r>
      <rPr>
        <sz val="10"/>
        <rFont val="華康粗圓體"/>
        <family val="3"/>
        <charset val="136"/>
      </rPr>
      <t>家庭生活扶助</t>
    </r>
    <phoneticPr fontId="6" type="noConversion"/>
  </si>
  <si>
    <r>
      <rPr>
        <sz val="10"/>
        <rFont val="華康粗圓體"/>
        <family val="3"/>
        <charset val="136"/>
      </rPr>
      <t>說明：</t>
    </r>
    <r>
      <rPr>
        <sz val="10"/>
        <rFont val="Arial Narrow"/>
        <family val="2"/>
      </rPr>
      <t>1.</t>
    </r>
    <r>
      <rPr>
        <sz val="10"/>
        <rFont val="華康粗圓體"/>
        <family val="3"/>
        <charset val="136"/>
      </rPr>
      <t>第一款係指全家人口均無工作能力，且無收入及財產。</t>
    </r>
    <phoneticPr fontId="6" type="noConversion"/>
  </si>
  <si>
    <r>
      <rPr>
        <sz val="10"/>
        <rFont val="華康粗圓體"/>
        <family val="3"/>
        <charset val="136"/>
      </rPr>
      <t>　　　</t>
    </r>
    <r>
      <rPr>
        <sz val="10"/>
        <rFont val="Arial Narrow"/>
        <family val="2"/>
      </rPr>
      <t>2.</t>
    </r>
    <r>
      <rPr>
        <sz val="10"/>
        <rFont val="華康粗圓體"/>
        <family val="3"/>
        <charset val="136"/>
      </rPr>
      <t>第二款係指全家人口有工作能力者在總人口數三分之一以下，且家庭總收入平均分配全家人口，</t>
    </r>
    <phoneticPr fontId="6" type="noConversion"/>
  </si>
  <si>
    <r>
      <rPr>
        <sz val="10"/>
        <rFont val="華康粗圓體"/>
        <family val="3"/>
        <charset val="136"/>
      </rPr>
      <t>　　　</t>
    </r>
    <r>
      <rPr>
        <sz val="10"/>
        <rFont val="Arial Narrow"/>
        <family val="2"/>
      </rPr>
      <t xml:space="preserve">   </t>
    </r>
    <r>
      <rPr>
        <sz val="10"/>
        <rFont val="華康粗圓體"/>
        <family val="3"/>
        <charset val="136"/>
      </rPr>
      <t>每人每月在最低生活費三分之二以下。</t>
    </r>
    <phoneticPr fontId="6" type="noConversion"/>
  </si>
  <si>
    <r>
      <rPr>
        <sz val="10"/>
        <rFont val="華康粗圓體"/>
        <family val="3"/>
        <charset val="136"/>
      </rPr>
      <t>　　　</t>
    </r>
    <r>
      <rPr>
        <sz val="10"/>
        <rFont val="Arial Narrow"/>
        <family val="2"/>
      </rPr>
      <t>3.</t>
    </r>
    <r>
      <rPr>
        <sz val="10"/>
        <rFont val="華康粗圓體"/>
        <family val="3"/>
        <charset val="136"/>
      </rPr>
      <t>第三款係指家庭總收入平均分配全家人口，每人每月逾最低生活費三分之二，且在最低生活費</t>
    </r>
    <phoneticPr fontId="6" type="noConversion"/>
  </si>
  <si>
    <r>
      <rPr>
        <sz val="10"/>
        <rFont val="華康粗圓體"/>
        <family val="3"/>
        <charset val="136"/>
      </rPr>
      <t>　　　</t>
    </r>
    <r>
      <rPr>
        <sz val="10"/>
        <rFont val="Arial Narrow"/>
        <family val="2"/>
      </rPr>
      <t xml:space="preserve">   </t>
    </r>
    <r>
      <rPr>
        <sz val="10"/>
        <rFont val="華康粗圓體"/>
        <family val="3"/>
        <charset val="136"/>
      </rPr>
      <t>以下。</t>
    </r>
    <phoneticPr fontId="6" type="noConversion"/>
  </si>
  <si>
    <r>
      <rPr>
        <sz val="13"/>
        <rFont val="華康粗圓體"/>
        <family val="3"/>
        <charset val="136"/>
      </rPr>
      <t>表</t>
    </r>
    <r>
      <rPr>
        <sz val="13"/>
        <rFont val="Arial Narrow"/>
        <family val="2"/>
      </rPr>
      <t>11-7</t>
    </r>
    <r>
      <rPr>
        <sz val="13"/>
        <rFont val="華康粗圓體"/>
        <family val="3"/>
        <charset val="136"/>
      </rPr>
      <t>、身心障礙福利服務概況</t>
    </r>
    <phoneticPr fontId="6" type="noConversion"/>
  </si>
  <si>
    <r>
      <rPr>
        <sz val="10"/>
        <rFont val="華康粗圓體"/>
        <family val="3"/>
        <charset val="136"/>
      </rPr>
      <t>單位：所；人；人次；千元</t>
    </r>
    <phoneticPr fontId="4" type="noConversion"/>
  </si>
  <si>
    <r>
      <rPr>
        <sz val="10"/>
        <rFont val="華康粗圓體"/>
        <family val="3"/>
        <charset val="136"/>
      </rPr>
      <t>生活補助</t>
    </r>
    <phoneticPr fontId="6" type="noConversion"/>
  </si>
  <si>
    <r>
      <rPr>
        <sz val="10"/>
        <rFont val="華康粗圓體"/>
        <family val="3"/>
        <charset val="136"/>
      </rPr>
      <t>托育養護補助</t>
    </r>
    <phoneticPr fontId="4" type="noConversion"/>
  </si>
  <si>
    <r>
      <rPr>
        <sz val="13"/>
        <rFont val="華康粗圓體"/>
        <family val="3"/>
        <charset val="136"/>
      </rPr>
      <t>表</t>
    </r>
    <r>
      <rPr>
        <sz val="13"/>
        <rFont val="Arial Narrow"/>
        <family val="2"/>
      </rPr>
      <t>11-6</t>
    </r>
    <r>
      <rPr>
        <sz val="13"/>
        <rFont val="華康粗圓體"/>
        <family val="3"/>
        <charset val="136"/>
      </rPr>
      <t>、身心障礙人數（續</t>
    </r>
    <r>
      <rPr>
        <sz val="13"/>
        <rFont val="Arial Narrow"/>
        <family val="2"/>
      </rPr>
      <t xml:space="preserve"> 2 </t>
    </r>
    <r>
      <rPr>
        <sz val="13"/>
        <rFont val="華康粗圓體"/>
        <family val="3"/>
        <charset val="136"/>
      </rPr>
      <t>完）</t>
    </r>
    <phoneticPr fontId="6" type="noConversion"/>
  </si>
  <si>
    <r>
      <rPr>
        <sz val="13"/>
        <rFont val="華康粗圓體"/>
        <family val="3"/>
        <charset val="136"/>
      </rPr>
      <t>表</t>
    </r>
    <r>
      <rPr>
        <sz val="13"/>
        <rFont val="Arial Narrow"/>
        <family val="2"/>
      </rPr>
      <t>11-6</t>
    </r>
    <r>
      <rPr>
        <sz val="13"/>
        <rFont val="華康粗圓體"/>
        <family val="3"/>
        <charset val="136"/>
      </rPr>
      <t>、身心障礙人數</t>
    </r>
    <phoneticPr fontId="6" type="noConversion"/>
  </si>
  <si>
    <r>
      <rPr>
        <sz val="13"/>
        <rFont val="華康粗圓體"/>
        <family val="3"/>
        <charset val="136"/>
      </rPr>
      <t>表</t>
    </r>
    <r>
      <rPr>
        <sz val="13"/>
        <rFont val="Arial Narrow"/>
        <family val="2"/>
      </rPr>
      <t>11-3</t>
    </r>
    <r>
      <rPr>
        <sz val="13"/>
        <rFont val="華康粗圓體"/>
        <family val="3"/>
        <charset val="136"/>
      </rPr>
      <t>、宗教社會服務概況（續）</t>
    </r>
    <phoneticPr fontId="6" type="noConversion"/>
  </si>
  <si>
    <r>
      <rPr>
        <sz val="10"/>
        <rFont val="華康粗圓體"/>
        <family val="3"/>
        <charset val="136"/>
      </rPr>
      <t>單位：所</t>
    </r>
    <phoneticPr fontId="6" type="noConversion"/>
  </si>
  <si>
    <r>
      <rPr>
        <sz val="13"/>
        <rFont val="華康粗圓體"/>
        <family val="3"/>
        <charset val="136"/>
      </rPr>
      <t>表</t>
    </r>
    <r>
      <rPr>
        <sz val="13"/>
        <rFont val="Arial Narrow"/>
        <family val="2"/>
      </rPr>
      <t>11-3</t>
    </r>
    <r>
      <rPr>
        <sz val="13"/>
        <rFont val="華康粗圓體"/>
        <family val="3"/>
        <charset val="136"/>
      </rPr>
      <t>、宗教社會服務概況</t>
    </r>
    <phoneticPr fontId="6" type="noConversion"/>
  </si>
  <si>
    <r>
      <rPr>
        <sz val="10"/>
        <color indexed="8"/>
        <rFont val="華康粗圓體"/>
        <family val="3"/>
        <charset val="136"/>
      </rPr>
      <t>資料來源：內政部。</t>
    </r>
    <r>
      <rPr>
        <sz val="8"/>
        <color indexed="8"/>
        <rFont val="華康中黑體"/>
        <family val="3"/>
        <charset val="136"/>
      </rPr>
      <t/>
    </r>
    <phoneticPr fontId="6" type="noConversion"/>
  </si>
  <si>
    <r>
      <rPr>
        <sz val="13"/>
        <rFont val="華康粗圓體"/>
        <family val="3"/>
        <charset val="136"/>
      </rPr>
      <t>表</t>
    </r>
    <r>
      <rPr>
        <sz val="13"/>
        <rFont val="Arial Narrow"/>
        <family val="2"/>
      </rPr>
      <t>11-2</t>
    </r>
    <r>
      <rPr>
        <sz val="13"/>
        <rFont val="華康粗圓體"/>
        <family val="3"/>
        <charset val="136"/>
      </rPr>
      <t>、宗教教務概況</t>
    </r>
    <phoneticPr fontId="6" type="noConversion"/>
  </si>
  <si>
    <r>
      <rPr>
        <sz val="10"/>
        <rFont val="華康粗圓體"/>
        <family val="3"/>
        <charset val="136"/>
      </rPr>
      <t>　</t>
    </r>
    <r>
      <rPr>
        <sz val="10"/>
        <rFont val="Arial Narrow"/>
        <family val="2"/>
      </rPr>
      <t xml:space="preserve">  </t>
    </r>
    <r>
      <rPr>
        <sz val="10"/>
        <rFont val="華康粗圓體"/>
        <family val="3"/>
        <charset val="136"/>
      </rPr>
      <t>伊斯蘭教</t>
    </r>
    <phoneticPr fontId="6" type="noConversion"/>
  </si>
  <si>
    <r>
      <rPr>
        <sz val="9"/>
        <rFont val="華康粗圓體"/>
        <family val="3"/>
        <charset val="136"/>
      </rPr>
      <t>資料來源：本府民政局。</t>
    </r>
    <phoneticPr fontId="6" type="noConversion"/>
  </si>
  <si>
    <r>
      <rPr>
        <sz val="9"/>
        <rFont val="華康粗圓體"/>
        <family val="3"/>
        <charset val="136"/>
      </rPr>
      <t>說明：</t>
    </r>
    <r>
      <rPr>
        <sz val="9"/>
        <rFont val="Arial Narrow"/>
        <family val="2"/>
      </rPr>
      <t>1.</t>
    </r>
    <r>
      <rPr>
        <sz val="9"/>
        <rFont val="華康粗圓體"/>
        <family val="3"/>
        <charset val="136"/>
      </rPr>
      <t>其他寺廟含軒轅教、天帝教、天德聖教、三</t>
    </r>
    <r>
      <rPr>
        <sz val="9"/>
        <rFont val="Arial Narrow"/>
        <family val="2"/>
      </rPr>
      <t>(</t>
    </r>
    <r>
      <rPr>
        <sz val="9"/>
        <rFont val="華康粗圓體"/>
        <family val="3"/>
        <charset val="136"/>
      </rPr>
      <t>一</t>
    </r>
    <r>
      <rPr>
        <sz val="9"/>
        <rFont val="Arial Narrow"/>
        <family val="2"/>
      </rPr>
      <t>)</t>
    </r>
    <r>
      <rPr>
        <sz val="9"/>
        <rFont val="華康粗圓體"/>
        <family val="3"/>
        <charset val="136"/>
      </rPr>
      <t>夏教、彌勒大道、宇宙彌勒皇教、先天救教等；</t>
    </r>
    <phoneticPr fontId="6" type="noConversion"/>
  </si>
  <si>
    <r>
      <rPr>
        <sz val="9"/>
        <rFont val="華康粗圓體"/>
        <family val="3"/>
        <charset val="136"/>
      </rPr>
      <t>　　　</t>
    </r>
    <r>
      <rPr>
        <sz val="9"/>
        <rFont val="Arial Narrow"/>
        <family val="2"/>
      </rPr>
      <t xml:space="preserve">   </t>
    </r>
    <r>
      <rPr>
        <sz val="9"/>
        <rFont val="華康粗圓體"/>
        <family val="3"/>
        <charset val="136"/>
      </rPr>
      <t>其他教堂含天理教、巴哈尹教、真光教、山達基教會、統一教、摩門教、東正教、猶太教等。</t>
    </r>
    <phoneticPr fontId="6" type="noConversion"/>
  </si>
  <si>
    <r>
      <rPr>
        <sz val="9"/>
        <rFont val="華康粗圓體"/>
        <family val="3"/>
        <charset val="136"/>
      </rPr>
      <t>　　　</t>
    </r>
    <r>
      <rPr>
        <sz val="9"/>
        <rFont val="Arial Narrow"/>
        <family val="2"/>
      </rPr>
      <t>2.</t>
    </r>
    <r>
      <rPr>
        <sz val="9"/>
        <rFont val="華康粗圓體"/>
        <family val="3"/>
        <charset val="136"/>
      </rPr>
      <t>信徒人數依各宗教皈依之規定。</t>
    </r>
    <phoneticPr fontId="6" type="noConversion"/>
  </si>
  <si>
    <r>
      <rPr>
        <sz val="9"/>
        <rFont val="華康粗圓體"/>
        <family val="3"/>
        <charset val="136"/>
      </rPr>
      <t>　　　</t>
    </r>
    <r>
      <rPr>
        <sz val="9"/>
        <rFont val="Arial Narrow"/>
        <family val="2"/>
      </rPr>
      <t>(Mormonism), Eastern Orthodox Church , and Judaism.</t>
    </r>
    <phoneticPr fontId="6" type="noConversion"/>
  </si>
  <si>
    <r>
      <rPr>
        <sz val="13"/>
        <rFont val="華康粗圓體"/>
        <family val="3"/>
        <charset val="136"/>
      </rPr>
      <t>表</t>
    </r>
    <r>
      <rPr>
        <sz val="13"/>
        <rFont val="Arial Narrow"/>
        <family val="2"/>
      </rPr>
      <t>11-1</t>
    </r>
    <r>
      <rPr>
        <sz val="13"/>
        <rFont val="華康粗圓體"/>
        <family val="3"/>
        <charset val="136"/>
      </rPr>
      <t>、各級人民團體數</t>
    </r>
    <phoneticPr fontId="4" type="noConversion"/>
  </si>
  <si>
    <r>
      <rPr>
        <sz val="10"/>
        <rFont val="華康粗圓體"/>
        <family val="3"/>
        <charset val="136"/>
      </rPr>
      <t>單位：個</t>
    </r>
    <phoneticPr fontId="6" type="noConversion"/>
  </si>
  <si>
    <r>
      <rPr>
        <sz val="9"/>
        <rFont val="華康粗圓體"/>
        <family val="3"/>
        <charset val="136"/>
      </rPr>
      <t xml:space="preserve">其他
服務
</t>
    </r>
    <r>
      <rPr>
        <sz val="9"/>
        <rFont val="Arial Narrow"/>
        <family val="2"/>
      </rPr>
      <t>(</t>
    </r>
    <r>
      <rPr>
        <sz val="9"/>
        <rFont val="華康粗圓體"/>
        <family val="3"/>
        <charset val="136"/>
      </rPr>
      <t>受益人次</t>
    </r>
    <r>
      <rPr>
        <sz val="9"/>
        <rFont val="Arial Narrow"/>
        <family val="2"/>
      </rPr>
      <t>)</t>
    </r>
    <phoneticPr fontId="6" type="noConversion"/>
  </si>
  <si>
    <r>
      <rPr>
        <sz val="9"/>
        <rFont val="華康粗圓體"/>
        <family val="3"/>
        <charset val="136"/>
      </rPr>
      <t xml:space="preserve">福利服務
或活動
</t>
    </r>
    <r>
      <rPr>
        <sz val="9"/>
        <rFont val="Arial Narrow"/>
        <family val="2"/>
      </rPr>
      <t>(</t>
    </r>
    <r>
      <rPr>
        <sz val="9"/>
        <rFont val="華康粗圓體"/>
        <family val="3"/>
        <charset val="136"/>
      </rPr>
      <t>受益人次</t>
    </r>
    <r>
      <rPr>
        <sz val="9"/>
        <rFont val="Arial Narrow"/>
        <family val="2"/>
      </rPr>
      <t>)</t>
    </r>
    <phoneticPr fontId="6" type="noConversion"/>
  </si>
  <si>
    <t xml:space="preserve">    Private Infant Care Centers</t>
    <phoneticPr fontId="6" type="noConversion"/>
  </si>
  <si>
    <t>End of 2017</t>
    <phoneticPr fontId="6" type="noConversion"/>
  </si>
  <si>
    <r>
      <rPr>
        <sz val="10"/>
        <rFont val="華康粗圓體"/>
        <family val="3"/>
        <charset val="136"/>
      </rPr>
      <t>民國</t>
    </r>
    <r>
      <rPr>
        <sz val="10"/>
        <rFont val="Arial Narrow"/>
        <family val="2"/>
      </rPr>
      <t>106</t>
    </r>
    <r>
      <rPr>
        <sz val="10"/>
        <rFont val="華康粗圓體"/>
        <family val="3"/>
        <charset val="136"/>
      </rPr>
      <t>年底</t>
    </r>
    <phoneticPr fontId="6" type="noConversion"/>
  </si>
  <si>
    <r>
      <rPr>
        <sz val="10"/>
        <rFont val="華康粗圓體"/>
        <family val="3"/>
        <charset val="136"/>
      </rPr>
      <t>民國</t>
    </r>
    <r>
      <rPr>
        <sz val="10"/>
        <rFont val="Arial Narrow"/>
        <family val="2"/>
      </rPr>
      <t>106</t>
    </r>
    <r>
      <rPr>
        <sz val="10"/>
        <rFont val="華康粗圓體"/>
        <family val="3"/>
        <charset val="136"/>
      </rPr>
      <t xml:space="preserve">年
</t>
    </r>
    <r>
      <rPr>
        <sz val="10"/>
        <rFont val="Arial Narrow"/>
        <family val="2"/>
      </rPr>
      <t>2017</t>
    </r>
    <phoneticPr fontId="6" type="noConversion"/>
  </si>
  <si>
    <r>
      <rPr>
        <sz val="10"/>
        <color indexed="8"/>
        <rFont val="華康粗圓體"/>
        <family val="3"/>
        <charset val="136"/>
      </rPr>
      <t>民國</t>
    </r>
    <r>
      <rPr>
        <sz val="10"/>
        <color indexed="8"/>
        <rFont val="Arial Narrow"/>
        <family val="2"/>
      </rPr>
      <t>106</t>
    </r>
    <r>
      <rPr>
        <sz val="10"/>
        <color indexed="8"/>
        <rFont val="華康粗圓體"/>
        <family val="3"/>
        <charset val="136"/>
      </rPr>
      <t xml:space="preserve">年
</t>
    </r>
    <r>
      <rPr>
        <sz val="10"/>
        <color indexed="8"/>
        <rFont val="Arial Narrow"/>
        <family val="2"/>
      </rPr>
      <t>2017</t>
    </r>
    <phoneticPr fontId="6" type="noConversion"/>
  </si>
  <si>
    <r>
      <rPr>
        <sz val="10"/>
        <color indexed="8"/>
        <rFont val="華康粗圓體"/>
        <family val="3"/>
        <charset val="136"/>
      </rPr>
      <t>民國</t>
    </r>
    <r>
      <rPr>
        <sz val="10"/>
        <color indexed="8"/>
        <rFont val="Arial Narrow"/>
        <family val="2"/>
      </rPr>
      <t>106</t>
    </r>
    <r>
      <rPr>
        <sz val="10"/>
        <color indexed="8"/>
        <rFont val="華康粗圓體"/>
        <family val="3"/>
        <charset val="136"/>
      </rPr>
      <t xml:space="preserve">年
</t>
    </r>
    <r>
      <rPr>
        <sz val="10"/>
        <color indexed="8"/>
        <rFont val="Arial Narrow"/>
        <family val="2"/>
      </rPr>
      <t>2017</t>
    </r>
    <phoneticPr fontId="4" type="noConversion"/>
  </si>
  <si>
    <r>
      <rPr>
        <sz val="10"/>
        <rFont val="華康粗圓體"/>
        <family val="3"/>
        <charset val="136"/>
      </rPr>
      <t>民國</t>
    </r>
    <r>
      <rPr>
        <sz val="10"/>
        <rFont val="Arial Narrow"/>
        <family val="2"/>
      </rPr>
      <t>106</t>
    </r>
    <r>
      <rPr>
        <sz val="10"/>
        <rFont val="華康粗圓體"/>
        <family val="3"/>
        <charset val="136"/>
      </rPr>
      <t xml:space="preserve">年
</t>
    </r>
    <r>
      <rPr>
        <sz val="10"/>
        <rFont val="Arial Narrow"/>
        <family val="2"/>
      </rPr>
      <t>2017</t>
    </r>
    <phoneticPr fontId="4" type="noConversion"/>
  </si>
  <si>
    <r>
      <rPr>
        <sz val="10"/>
        <rFont val="華康粗圓體"/>
        <family val="3"/>
        <charset val="136"/>
      </rPr>
      <t>民國</t>
    </r>
    <r>
      <rPr>
        <sz val="10"/>
        <rFont val="Arial Narrow"/>
        <family val="2"/>
      </rPr>
      <t>106</t>
    </r>
    <r>
      <rPr>
        <sz val="10"/>
        <rFont val="華康粗圓體"/>
        <family val="3"/>
        <charset val="136"/>
      </rPr>
      <t xml:space="preserve">年底
</t>
    </r>
    <r>
      <rPr>
        <sz val="10"/>
        <rFont val="Arial Narrow"/>
        <family val="2"/>
      </rPr>
      <t>End of 2017</t>
    </r>
    <phoneticPr fontId="4" type="noConversion"/>
  </si>
  <si>
    <r>
      <rPr>
        <sz val="10"/>
        <rFont val="華康粗圓體"/>
        <family val="3"/>
        <charset val="136"/>
      </rPr>
      <t>民國</t>
    </r>
    <r>
      <rPr>
        <sz val="10"/>
        <rFont val="Arial Narrow"/>
        <family val="2"/>
      </rPr>
      <t>106</t>
    </r>
    <r>
      <rPr>
        <sz val="10"/>
        <rFont val="華康粗圓體"/>
        <family val="3"/>
        <charset val="136"/>
      </rPr>
      <t>年</t>
    </r>
    <r>
      <rPr>
        <sz val="10"/>
        <rFont val="Arial Narrow"/>
        <family val="2"/>
      </rPr>
      <t xml:space="preserve"> 2017</t>
    </r>
    <phoneticPr fontId="6" type="noConversion"/>
  </si>
  <si>
    <r>
      <rPr>
        <sz val="10"/>
        <rFont val="華康粗圓體"/>
        <family val="3"/>
        <charset val="136"/>
      </rPr>
      <t>民國</t>
    </r>
    <r>
      <rPr>
        <sz val="10"/>
        <rFont val="Arial Narrow"/>
        <family val="2"/>
      </rPr>
      <t>106</t>
    </r>
    <r>
      <rPr>
        <sz val="10"/>
        <rFont val="華康粗圓體"/>
        <family val="3"/>
        <charset val="136"/>
      </rPr>
      <t>年底</t>
    </r>
    <r>
      <rPr>
        <sz val="10"/>
        <rFont val="Arial Narrow"/>
        <family val="2"/>
      </rPr>
      <t xml:space="preserve"> End of 2017</t>
    </r>
    <phoneticPr fontId="4" type="noConversion"/>
  </si>
  <si>
    <t xml:space="preserve">     of Social Welfaret,Taoyuan</t>
    <phoneticPr fontId="6" type="noConversion"/>
  </si>
  <si>
    <t>Women 's organization
skills training</t>
    <phoneticPr fontId="6" type="noConversion"/>
  </si>
  <si>
    <t>No. of Institutions of
Welfare Service Centers
(End of Year)</t>
    <phoneticPr fontId="6" type="noConversion"/>
  </si>
  <si>
    <t>No. of Institutions of New Resident Family Service Centers, End of Year
(Place)</t>
    <phoneticPr fontId="6" type="noConversion"/>
  </si>
  <si>
    <t>Welfare and Interests
Activities</t>
    <phoneticPr fontId="6" type="noConversion"/>
  </si>
  <si>
    <t>Women group leader
training</t>
    <phoneticPr fontId="6" type="noConversion"/>
  </si>
  <si>
    <t>Counselling
of Law
(Person-times)</t>
  </si>
  <si>
    <r>
      <rPr>
        <sz val="9"/>
        <rFont val="華康粗圓體"/>
        <family val="3"/>
        <charset val="136"/>
      </rPr>
      <t xml:space="preserve">參加人次
</t>
    </r>
    <r>
      <rPr>
        <sz val="9"/>
        <rFont val="Arial Narrow"/>
        <family val="2"/>
      </rPr>
      <t>(</t>
    </r>
    <r>
      <rPr>
        <sz val="9"/>
        <rFont val="華康粗圓體"/>
        <family val="3"/>
        <charset val="136"/>
      </rPr>
      <t>人次</t>
    </r>
    <r>
      <rPr>
        <sz val="9"/>
        <rFont val="Arial Narrow"/>
        <family val="2"/>
      </rPr>
      <t>)</t>
    </r>
    <phoneticPr fontId="6" type="noConversion"/>
  </si>
  <si>
    <r>
      <rPr>
        <sz val="9"/>
        <rFont val="華康粗圓體"/>
        <family val="3"/>
        <charset val="136"/>
      </rPr>
      <t xml:space="preserve">班數
</t>
    </r>
    <r>
      <rPr>
        <sz val="9"/>
        <rFont val="Arial Narrow"/>
        <family val="2"/>
      </rPr>
      <t>(</t>
    </r>
    <r>
      <rPr>
        <sz val="9"/>
        <rFont val="華康粗圓體"/>
        <family val="3"/>
        <charset val="136"/>
      </rPr>
      <t>班</t>
    </r>
    <r>
      <rPr>
        <sz val="9"/>
        <rFont val="Arial Narrow"/>
        <family val="2"/>
      </rPr>
      <t>)</t>
    </r>
    <phoneticPr fontId="6" type="noConversion"/>
  </si>
  <si>
    <r>
      <rPr>
        <sz val="9"/>
        <rFont val="華康粗圓體"/>
        <family val="3"/>
        <charset val="136"/>
      </rPr>
      <t>辦理次數</t>
    </r>
    <r>
      <rPr>
        <sz val="9"/>
        <rFont val="Arial Narrow"/>
        <family val="2"/>
      </rPr>
      <t>(</t>
    </r>
    <r>
      <rPr>
        <sz val="9"/>
        <rFont val="華康粗圓體"/>
        <family val="3"/>
        <charset val="136"/>
      </rPr>
      <t>次</t>
    </r>
    <r>
      <rPr>
        <sz val="9"/>
        <rFont val="Arial Narrow"/>
        <family val="2"/>
      </rPr>
      <t>)</t>
    </r>
    <phoneticPr fontId="6" type="noConversion"/>
  </si>
  <si>
    <r>
      <rPr>
        <sz val="9"/>
        <rFont val="華康粗圓體"/>
        <family val="3"/>
        <charset val="136"/>
      </rPr>
      <t>參加人次</t>
    </r>
    <r>
      <rPr>
        <sz val="9"/>
        <rFont val="Arial Narrow"/>
        <family val="2"/>
      </rPr>
      <t>(</t>
    </r>
    <r>
      <rPr>
        <sz val="9"/>
        <rFont val="華康粗圓體"/>
        <family val="3"/>
        <charset val="136"/>
      </rPr>
      <t>人次</t>
    </r>
    <r>
      <rPr>
        <sz val="9"/>
        <rFont val="Arial Narrow"/>
        <family val="2"/>
      </rPr>
      <t>)</t>
    </r>
    <phoneticPr fontId="6" type="noConversion"/>
  </si>
  <si>
    <t xml:space="preserve">              Taoyuan City Gov and Legal Clinic Center of each district.</t>
    <phoneticPr fontId="6" type="noConversion"/>
  </si>
  <si>
    <t>No. of Times
(Times)</t>
    <phoneticPr fontId="6" type="noConversion"/>
  </si>
  <si>
    <r>
      <rPr>
        <sz val="13"/>
        <rFont val="華康粗圓體"/>
        <family val="3"/>
        <charset val="136"/>
      </rPr>
      <t>表</t>
    </r>
    <r>
      <rPr>
        <sz val="13"/>
        <rFont val="Arial Narrow"/>
        <family val="2"/>
      </rPr>
      <t>11-18</t>
    </r>
    <r>
      <rPr>
        <sz val="13"/>
        <rFont val="華康粗圓體"/>
        <family val="3"/>
        <charset val="136"/>
      </rPr>
      <t>、婦女福利服務概況</t>
    </r>
    <phoneticPr fontId="6" type="noConversion"/>
  </si>
  <si>
    <t>Consulting  Service
(Person-times)</t>
    <phoneticPr fontId="6" type="noConversion"/>
  </si>
  <si>
    <r>
      <rPr>
        <sz val="10"/>
        <rFont val="華康粗圓體"/>
        <family val="3"/>
        <charset val="136"/>
      </rPr>
      <t>說　　明：</t>
    </r>
    <r>
      <rPr>
        <sz val="10"/>
        <rFont val="Arial Narrow"/>
        <family val="2"/>
      </rPr>
      <t>101</t>
    </r>
    <r>
      <rPr>
        <sz val="10"/>
        <rFont val="華康粗圓體"/>
        <family val="3"/>
        <charset val="136"/>
      </rPr>
      <t>年度起報表格式修訂，故本表格式異動。</t>
    </r>
    <phoneticPr fontId="6" type="noConversion"/>
  </si>
  <si>
    <r>
      <rPr>
        <sz val="13"/>
        <rFont val="華康粗圓體"/>
        <family val="3"/>
        <charset val="136"/>
      </rPr>
      <t>表</t>
    </r>
    <r>
      <rPr>
        <sz val="13"/>
        <rFont val="Arial Narrow"/>
        <family val="2"/>
      </rPr>
      <t>11-18</t>
    </r>
    <r>
      <rPr>
        <sz val="13"/>
        <rFont val="華康粗圓體"/>
        <family val="3"/>
        <charset val="136"/>
      </rPr>
      <t>、婦女福利服務概況（續）</t>
    </r>
    <phoneticPr fontId="6" type="noConversion"/>
  </si>
  <si>
    <r>
      <t xml:space="preserve">
</t>
    </r>
    <r>
      <rPr>
        <sz val="10"/>
        <rFont val="華康粗圓體"/>
        <family val="3"/>
        <charset val="136"/>
      </rPr>
      <t>年別</t>
    </r>
    <phoneticPr fontId="6" type="noConversion"/>
  </si>
  <si>
    <r>
      <rPr>
        <sz val="10"/>
        <rFont val="華康粗圓體"/>
        <family val="3"/>
        <charset val="136"/>
      </rPr>
      <t xml:space="preserve">電話訪問
</t>
    </r>
    <r>
      <rPr>
        <sz val="10"/>
        <rFont val="Arial Narrow"/>
        <family val="2"/>
      </rPr>
      <t>(</t>
    </r>
    <r>
      <rPr>
        <sz val="10"/>
        <rFont val="華康粗圓體"/>
        <family val="3"/>
        <charset val="136"/>
      </rPr>
      <t>人次</t>
    </r>
    <r>
      <rPr>
        <sz val="10"/>
        <rFont val="Arial Narrow"/>
        <family val="2"/>
      </rPr>
      <t>)</t>
    </r>
    <phoneticPr fontId="4" type="noConversion"/>
  </si>
  <si>
    <r>
      <rPr>
        <sz val="10"/>
        <rFont val="華康粗圓體"/>
        <family val="3"/>
        <charset val="136"/>
      </rPr>
      <t xml:space="preserve">個案管理
輔導服務
</t>
    </r>
    <r>
      <rPr>
        <sz val="10"/>
        <rFont val="Arial Narrow"/>
        <family val="2"/>
      </rPr>
      <t>(</t>
    </r>
    <r>
      <rPr>
        <sz val="10"/>
        <rFont val="華康粗圓體"/>
        <family val="3"/>
        <charset val="136"/>
      </rPr>
      <t>人次</t>
    </r>
    <r>
      <rPr>
        <sz val="10"/>
        <rFont val="Arial Narrow"/>
        <family val="2"/>
      </rPr>
      <t>)</t>
    </r>
    <phoneticPr fontId="4" type="noConversion"/>
  </si>
  <si>
    <r>
      <rPr>
        <sz val="10"/>
        <rFont val="華康粗圓體"/>
        <family val="3"/>
        <charset val="136"/>
      </rPr>
      <t xml:space="preserve">班數
</t>
    </r>
    <r>
      <rPr>
        <sz val="10"/>
        <rFont val="Arial Narrow"/>
        <family val="2"/>
      </rPr>
      <t>(</t>
    </r>
    <r>
      <rPr>
        <sz val="10"/>
        <rFont val="華康粗圓體"/>
        <family val="3"/>
        <charset val="136"/>
      </rPr>
      <t>班</t>
    </r>
    <r>
      <rPr>
        <sz val="10"/>
        <rFont val="Arial Narrow"/>
        <family val="2"/>
      </rPr>
      <t>)</t>
    </r>
    <phoneticPr fontId="4" type="noConversion"/>
  </si>
  <si>
    <r>
      <rPr>
        <sz val="10"/>
        <rFont val="華康粗圓體"/>
        <family val="3"/>
        <charset val="136"/>
      </rPr>
      <t xml:space="preserve">辦理次數
</t>
    </r>
    <r>
      <rPr>
        <sz val="10"/>
        <rFont val="Arial Narrow"/>
        <family val="2"/>
      </rPr>
      <t>(</t>
    </r>
    <r>
      <rPr>
        <sz val="10"/>
        <rFont val="華康粗圓體"/>
        <family val="3"/>
        <charset val="136"/>
      </rPr>
      <t>次</t>
    </r>
    <r>
      <rPr>
        <sz val="10"/>
        <rFont val="Arial Narrow"/>
        <family val="2"/>
      </rPr>
      <t>)</t>
    </r>
    <phoneticPr fontId="4" type="noConversion"/>
  </si>
  <si>
    <t>New Resident Family Welfare Services</t>
    <phoneticPr fontId="6" type="noConversion"/>
  </si>
  <si>
    <r>
      <rPr>
        <sz val="10"/>
        <rFont val="華康粗圓體"/>
        <family val="3"/>
        <charset val="136"/>
      </rPr>
      <t xml:space="preserve">家庭訪視
</t>
    </r>
    <r>
      <rPr>
        <sz val="10"/>
        <rFont val="Arial Narrow"/>
        <family val="2"/>
      </rPr>
      <t>(</t>
    </r>
    <r>
      <rPr>
        <sz val="10"/>
        <rFont val="華康粗圓體"/>
        <family val="3"/>
        <charset val="136"/>
      </rPr>
      <t>人次</t>
    </r>
    <r>
      <rPr>
        <sz val="10"/>
        <rFont val="Arial Narrow"/>
        <family val="2"/>
      </rPr>
      <t>)</t>
    </r>
    <phoneticPr fontId="6" type="noConversion"/>
  </si>
  <si>
    <t>New Resident Individual
Support Services</t>
    <phoneticPr fontId="6" type="noConversion"/>
  </si>
  <si>
    <t>New Resident Family 
Support Services</t>
    <phoneticPr fontId="6" type="noConversion"/>
  </si>
  <si>
    <r>
      <t xml:space="preserve">          </t>
    </r>
    <r>
      <rPr>
        <sz val="10"/>
        <rFont val="華康粗圓體"/>
        <family val="3"/>
        <charset val="136"/>
      </rPr>
      <t>附屬福利機構</t>
    </r>
    <r>
      <rPr>
        <sz val="10"/>
        <rFont val="Arial Narrow"/>
        <family val="2"/>
      </rPr>
      <t xml:space="preserve">  </t>
    </r>
    <phoneticPr fontId="4" type="noConversion"/>
  </si>
  <si>
    <r>
      <t xml:space="preserve">    </t>
    </r>
    <r>
      <rPr>
        <sz val="10"/>
        <rFont val="華康粗圓體"/>
        <family val="3"/>
        <charset val="136"/>
      </rPr>
      <t>接受本府社會局委託服務單位</t>
    </r>
    <phoneticPr fontId="4" type="noConversion"/>
  </si>
  <si>
    <t xml:space="preserve">     Units Authorized by Department </t>
    <phoneticPr fontId="6" type="noConversion"/>
  </si>
  <si>
    <r>
      <rPr>
        <sz val="10"/>
        <rFont val="華康粗圓體"/>
        <family val="3"/>
        <charset val="136"/>
      </rPr>
      <t>志願服務</t>
    </r>
    <r>
      <rPr>
        <sz val="10"/>
        <rFont val="Arial Narrow"/>
        <family val="2"/>
      </rPr>
      <t xml:space="preserve"> Volunteer Service</t>
    </r>
    <phoneticPr fontId="4" type="noConversion"/>
  </si>
  <si>
    <r>
      <rPr>
        <sz val="9.5"/>
        <rFont val="華康粗圓體"/>
        <family val="3"/>
        <charset val="136"/>
      </rPr>
      <t>社會工作師</t>
    </r>
    <r>
      <rPr>
        <sz val="9.5"/>
        <rFont val="Arial Narrow"/>
        <family val="2"/>
      </rPr>
      <t/>
    </r>
    <phoneticPr fontId="4" type="noConversion"/>
  </si>
  <si>
    <r>
      <t xml:space="preserve">         </t>
    </r>
    <r>
      <rPr>
        <sz val="10"/>
        <rFont val="華康粗圓體"/>
        <family val="3"/>
        <charset val="136"/>
      </rPr>
      <t>附屬福利機構</t>
    </r>
    <r>
      <rPr>
        <sz val="10"/>
        <rFont val="Arial Narrow"/>
        <family val="2"/>
      </rPr>
      <t xml:space="preserve">    </t>
    </r>
    <phoneticPr fontId="6" type="noConversion"/>
  </si>
  <si>
    <r>
      <t xml:space="preserve">    </t>
    </r>
    <r>
      <rPr>
        <sz val="10"/>
        <rFont val="華康粗圓體"/>
        <family val="3"/>
        <charset val="136"/>
      </rPr>
      <t>接受本府社會局委託服務單位</t>
    </r>
    <phoneticPr fontId="6" type="noConversion"/>
  </si>
  <si>
    <r>
      <rPr>
        <sz val="10"/>
        <rFont val="華康粗圓體"/>
        <family val="3"/>
        <charset val="136"/>
      </rPr>
      <t>社區發展</t>
    </r>
    <r>
      <rPr>
        <sz val="10"/>
        <rFont val="Arial Narrow"/>
        <family val="2"/>
      </rPr>
      <t xml:space="preserve"> Community Development</t>
    </r>
    <phoneticPr fontId="4" type="noConversion"/>
  </si>
  <si>
    <r>
      <t xml:space="preserve">         </t>
    </r>
    <r>
      <rPr>
        <sz val="10"/>
        <rFont val="華康粗圓體"/>
        <family val="3"/>
        <charset val="136"/>
      </rPr>
      <t>附屬福利機構</t>
    </r>
    <r>
      <rPr>
        <sz val="10"/>
        <rFont val="Arial Narrow"/>
        <family val="2"/>
      </rPr>
      <t xml:space="preserve">  </t>
    </r>
    <phoneticPr fontId="4" type="noConversion"/>
  </si>
  <si>
    <r>
      <t xml:space="preserve">     </t>
    </r>
    <r>
      <rPr>
        <sz val="10"/>
        <rFont val="華康粗圓體"/>
        <family val="3"/>
        <charset val="136"/>
      </rPr>
      <t>接受本府社會局委託服務單位</t>
    </r>
    <phoneticPr fontId="4" type="noConversion"/>
  </si>
  <si>
    <r>
      <rPr>
        <sz val="13"/>
        <rFont val="華康粗圓體"/>
        <family val="3"/>
        <charset val="136"/>
      </rPr>
      <t>表</t>
    </r>
    <r>
      <rPr>
        <sz val="13"/>
        <rFont val="Arial Narrow"/>
        <family val="2"/>
      </rPr>
      <t>11-20</t>
    </r>
    <r>
      <rPr>
        <sz val="13"/>
        <rFont val="華康粗圓體"/>
        <family val="3"/>
        <charset val="136"/>
      </rPr>
      <t>、社會福利工作人員數</t>
    </r>
    <phoneticPr fontId="6" type="noConversion"/>
  </si>
  <si>
    <r>
      <rPr>
        <sz val="10"/>
        <rFont val="華康粗圓體"/>
        <family val="3"/>
        <charset val="136"/>
      </rPr>
      <t>兒童及少年福利</t>
    </r>
    <r>
      <rPr>
        <sz val="10"/>
        <rFont val="Arial Narrow"/>
        <family val="2"/>
      </rPr>
      <t xml:space="preserve"> Children &amp; Youths Welfare</t>
    </r>
    <phoneticPr fontId="4" type="noConversion"/>
  </si>
  <si>
    <r>
      <rPr>
        <sz val="10"/>
        <rFont val="華康粗圓體"/>
        <family val="3"/>
        <charset val="136"/>
      </rPr>
      <t>說明：長青學苑辦理成果之開班參加人數自</t>
    </r>
    <r>
      <rPr>
        <sz val="10"/>
        <rFont val="Arial Narrow"/>
        <family val="2"/>
      </rPr>
      <t>102</t>
    </r>
    <r>
      <rPr>
        <sz val="10"/>
        <rFont val="華康粗圓體"/>
        <family val="3"/>
        <charset val="136"/>
      </rPr>
      <t>年起納入各區辦理部分。</t>
    </r>
    <phoneticPr fontId="6" type="noConversion"/>
  </si>
  <si>
    <t xml:space="preserve">Note : The number of attended persons on achievements in Evergreen Academy  includes the participants who attend the activities </t>
    <phoneticPr fontId="6" type="noConversion"/>
  </si>
  <si>
    <t>New Resident Social Support Services</t>
    <phoneticPr fontId="6" type="noConversion"/>
  </si>
  <si>
    <t>New Resident Ecomomic Support Services</t>
    <phoneticPr fontId="6" type="noConversion"/>
  </si>
  <si>
    <t>New Resident Information Support Services</t>
    <phoneticPr fontId="6" type="noConversion"/>
  </si>
  <si>
    <t xml:space="preserve">             were included in the form since 2015.</t>
    <phoneticPr fontId="6" type="noConversion"/>
  </si>
  <si>
    <t>Gender Teacher
Training Course</t>
    <phoneticPr fontId="6" type="noConversion"/>
  </si>
  <si>
    <t>Aborigines</t>
    <phoneticPr fontId="6" type="noConversion"/>
  </si>
  <si>
    <t>No.of
Beneficiary</t>
    <phoneticPr fontId="6" type="noConversion"/>
  </si>
  <si>
    <t xml:space="preserve">People </t>
    <phoneticPr fontId="6" type="noConversion"/>
  </si>
  <si>
    <r>
      <rPr>
        <sz val="10"/>
        <rFont val="華康粗圓體"/>
        <family val="3"/>
        <charset val="136"/>
      </rPr>
      <t>民眾</t>
    </r>
    <r>
      <rPr>
        <sz val="10"/>
        <rFont val="Arial Narrow"/>
        <family val="2"/>
      </rPr>
      <t xml:space="preserve"> </t>
    </r>
    <phoneticPr fontId="4" type="noConversion"/>
  </si>
  <si>
    <t>People</t>
    <phoneticPr fontId="6" type="noConversion"/>
  </si>
  <si>
    <t xml:space="preserve">Veteran Servicemen
</t>
    <phoneticPr fontId="6" type="noConversion"/>
  </si>
  <si>
    <t>Source : Department of Social Welfare and Department of Indigenous Affairs, Taoyuan City Gov.</t>
    <phoneticPr fontId="6" type="noConversion"/>
  </si>
  <si>
    <t>No. of Institutions of Foreign Spouse Family
 Service Centers, End of Year
(Place)</t>
    <phoneticPr fontId="4" type="noConversion"/>
  </si>
  <si>
    <t>No. of Institutions of Foreign Spouse Family Service Centers, End of Year
(Place)</t>
    <phoneticPr fontId="6" type="noConversion"/>
  </si>
  <si>
    <t>Foreign Spouse Family Welfare Services</t>
  </si>
  <si>
    <t>Foreign Spouse Individual Support Services</t>
  </si>
  <si>
    <t>Foreign Spouse Family
Support Services</t>
  </si>
  <si>
    <t>Foreign Spouse Welfare Propaganda</t>
  </si>
  <si>
    <t>Foreign Spouse Adapting Classes
(Include Advanced)</t>
  </si>
  <si>
    <t>Foreign Spouse Individual
Support Services</t>
  </si>
  <si>
    <t>Foreign Spouse Family 
Support Services</t>
  </si>
  <si>
    <t>Foreign Spouse Multiculturalism Propaganda</t>
  </si>
  <si>
    <t>Foreign Spouse Adapting Classes</t>
  </si>
  <si>
    <t>Note : Since 2015 "Number of Outpatient" and "Assistance for Outpatient Services" included the data of assistance for homeless</t>
    <phoneticPr fontId="6" type="noConversion"/>
  </si>
  <si>
    <r>
      <rPr>
        <sz val="10"/>
        <rFont val="華康粗圓體"/>
        <family val="3"/>
        <charset val="136"/>
      </rPr>
      <t>說明：自</t>
    </r>
    <r>
      <rPr>
        <sz val="10"/>
        <rFont val="Arial Narrow"/>
        <family val="2"/>
      </rPr>
      <t>104</t>
    </r>
    <r>
      <rPr>
        <sz val="10"/>
        <rFont val="華康粗圓體"/>
        <family val="3"/>
        <charset val="136"/>
      </rPr>
      <t>年起，門診人次與門診醫療補助含救助遊民及路倒民眾之資料，並自</t>
    </r>
    <r>
      <rPr>
        <sz val="10"/>
        <rFont val="Arial Narrow"/>
        <family val="2"/>
      </rPr>
      <t>105</t>
    </r>
    <r>
      <rPr>
        <sz val="10"/>
        <rFont val="華康粗圓體"/>
        <family val="3"/>
        <charset val="136"/>
      </rPr>
      <t>年起將其補助金額改統計至</t>
    </r>
    <phoneticPr fontId="6" type="noConversion"/>
  </si>
  <si>
    <t xml:space="preserve">          4.The format of this table has changed because the format of the statement was modified in 2014 and 2017.</t>
    <phoneticPr fontId="6" type="noConversion"/>
  </si>
  <si>
    <r>
      <rPr>
        <sz val="10"/>
        <rFont val="華康粗圓體"/>
        <family val="3"/>
        <charset val="136"/>
      </rPr>
      <t>經濟業務
團　　體</t>
    </r>
    <phoneticPr fontId="6" type="noConversion"/>
  </si>
  <si>
    <r>
      <rPr>
        <sz val="13"/>
        <rFont val="華康粗圓體"/>
        <family val="3"/>
        <charset val="136"/>
      </rPr>
      <t>表</t>
    </r>
    <r>
      <rPr>
        <sz val="13"/>
        <rFont val="Arial Narrow"/>
        <family val="2"/>
      </rPr>
      <t>11-22</t>
    </r>
    <r>
      <rPr>
        <sz val="13"/>
        <rFont val="華康粗圓體"/>
        <family val="3"/>
        <charset val="136"/>
      </rPr>
      <t>、家庭暴力通報案件（續）</t>
    </r>
    <phoneticPr fontId="6" type="noConversion"/>
  </si>
  <si>
    <r>
      <rPr>
        <sz val="10"/>
        <rFont val="華康粗圓體"/>
        <family val="3"/>
        <charset val="136"/>
      </rPr>
      <t>直系血親</t>
    </r>
    <phoneticPr fontId="6" type="noConversion"/>
  </si>
  <si>
    <r>
      <rPr>
        <sz val="10"/>
        <rFont val="華康粗圓體"/>
        <family val="3"/>
        <charset val="136"/>
      </rPr>
      <t>直系姻親</t>
    </r>
    <phoneticPr fontId="6" type="noConversion"/>
  </si>
  <si>
    <r>
      <rPr>
        <sz val="10"/>
        <rFont val="華康粗圓體"/>
        <family val="3"/>
        <charset val="136"/>
      </rPr>
      <t>同居關係</t>
    </r>
    <phoneticPr fontId="6" type="noConversion"/>
  </si>
  <si>
    <r>
      <rPr>
        <sz val="10"/>
        <rFont val="華康粗圓體"/>
        <family val="3"/>
        <charset val="136"/>
      </rPr>
      <t>家長家屬</t>
    </r>
    <phoneticPr fontId="6" type="noConversion"/>
  </si>
  <si>
    <r>
      <rPr>
        <sz val="10"/>
        <rFont val="華康粗圓體"/>
        <family val="3"/>
        <charset val="136"/>
      </rPr>
      <t>社會工作師</t>
    </r>
    <phoneticPr fontId="4" type="noConversion"/>
  </si>
  <si>
    <r>
      <rPr>
        <sz val="10"/>
        <rFont val="華康粗圓體"/>
        <family val="3"/>
        <charset val="136"/>
      </rPr>
      <t>外籍配偶家庭福利服務</t>
    </r>
  </si>
  <si>
    <r>
      <rPr>
        <sz val="10"/>
        <rFont val="華康粗圓體"/>
        <family val="3"/>
        <charset val="136"/>
      </rPr>
      <t>外籍配偶個人支持性服務</t>
    </r>
  </si>
  <si>
    <r>
      <rPr>
        <sz val="10"/>
        <rFont val="華康粗圓體"/>
        <family val="3"/>
        <charset val="136"/>
      </rPr>
      <t>外籍配偶家庭支持性服務</t>
    </r>
  </si>
  <si>
    <r>
      <rPr>
        <sz val="10"/>
        <rFont val="華康粗圓體"/>
        <family val="3"/>
        <charset val="136"/>
      </rPr>
      <t>外籍配偶福利宣傳活動</t>
    </r>
  </si>
  <si>
    <r>
      <rPr>
        <sz val="10"/>
        <rFont val="華康粗圓體"/>
        <family val="3"/>
        <charset val="136"/>
      </rPr>
      <t>外籍配偶生活適應輔導班</t>
    </r>
  </si>
  <si>
    <r>
      <rPr>
        <sz val="9.5"/>
        <rFont val="華康粗圓體"/>
        <family val="3"/>
        <charset val="136"/>
      </rPr>
      <t>外籍配偶多元文化融合活動</t>
    </r>
  </si>
  <si>
    <r>
      <rPr>
        <sz val="10"/>
        <rFont val="華康粗圓體"/>
        <family val="3"/>
        <charset val="136"/>
      </rPr>
      <t>新住民家庭福利服務</t>
    </r>
    <phoneticPr fontId="6" type="noConversion"/>
  </si>
  <si>
    <r>
      <rPr>
        <sz val="10"/>
        <rFont val="華康粗圓體"/>
        <family val="3"/>
        <charset val="136"/>
      </rPr>
      <t>新住民個人支持性服務</t>
    </r>
    <phoneticPr fontId="6" type="noConversion"/>
  </si>
  <si>
    <r>
      <rPr>
        <sz val="10"/>
        <rFont val="華康粗圓體"/>
        <family val="3"/>
        <charset val="136"/>
      </rPr>
      <t>新住民家庭支持性服務</t>
    </r>
    <phoneticPr fontId="6" type="noConversion"/>
  </si>
  <si>
    <r>
      <rPr>
        <sz val="10"/>
        <rFont val="華康粗圓體"/>
        <family val="3"/>
        <charset val="136"/>
      </rPr>
      <t>新住民社會支持活動</t>
    </r>
    <phoneticPr fontId="6" type="noConversion"/>
  </si>
  <si>
    <r>
      <rPr>
        <sz val="10"/>
        <rFont val="華康粗圓體"/>
        <family val="3"/>
        <charset val="136"/>
      </rPr>
      <t>新住民資訊支持服務</t>
    </r>
    <phoneticPr fontId="6" type="noConversion"/>
  </si>
  <si>
    <r>
      <rPr>
        <sz val="10"/>
        <rFont val="華康粗圓體"/>
        <family val="3"/>
        <charset val="136"/>
      </rPr>
      <t>新住民經濟支持服務</t>
    </r>
    <phoneticPr fontId="6" type="noConversion"/>
  </si>
  <si>
    <r>
      <rPr>
        <sz val="9"/>
        <rFont val="華康粗圓體"/>
        <family val="3"/>
        <charset val="136"/>
      </rPr>
      <t>婦女福利與
婦女權益活動</t>
    </r>
    <phoneticPr fontId="6" type="noConversion"/>
  </si>
  <si>
    <r>
      <rPr>
        <b/>
        <sz val="11"/>
        <color indexed="10"/>
        <rFont val="華康粗圓體"/>
        <family val="3"/>
        <charset val="136"/>
      </rPr>
      <t>請教育局終身學習科提供資料</t>
    </r>
    <phoneticPr fontId="6" type="noConversion"/>
  </si>
  <si>
    <r>
      <rPr>
        <b/>
        <sz val="14"/>
        <color indexed="10"/>
        <rFont val="華康粗圓體"/>
        <family val="3"/>
        <charset val="136"/>
      </rPr>
      <t>問題</t>
    </r>
    <r>
      <rPr>
        <b/>
        <sz val="14"/>
        <color indexed="10"/>
        <rFont val="Arial Narrow"/>
        <family val="2"/>
      </rPr>
      <t>:</t>
    </r>
    <r>
      <rPr>
        <b/>
        <sz val="14"/>
        <color indexed="10"/>
        <rFont val="華康粗圓體"/>
        <family val="3"/>
        <charset val="136"/>
      </rPr>
      <t>報表與系統資料不一致</t>
    </r>
    <r>
      <rPr>
        <b/>
        <sz val="14"/>
        <color indexed="10"/>
        <rFont val="Arial Narrow"/>
        <family val="2"/>
      </rPr>
      <t>(5/14</t>
    </r>
    <r>
      <rPr>
        <b/>
        <sz val="14"/>
        <color indexed="10"/>
        <rFont val="華康粗圓體"/>
        <family val="3"/>
        <charset val="136"/>
      </rPr>
      <t>發現</t>
    </r>
    <r>
      <rPr>
        <b/>
        <sz val="14"/>
        <color indexed="10"/>
        <rFont val="Arial Narrow"/>
        <family val="2"/>
      </rPr>
      <t>)</t>
    </r>
    <phoneticPr fontId="6" type="noConversion"/>
  </si>
  <si>
    <r>
      <rPr>
        <sz val="10"/>
        <color indexed="9"/>
        <rFont val="Arial Narrow"/>
        <family val="2"/>
      </rPr>
      <t xml:space="preserve">Note : </t>
    </r>
    <r>
      <rPr>
        <sz val="10"/>
        <rFont val="Arial Narrow"/>
        <family val="2"/>
      </rPr>
      <t xml:space="preserve">held by district hall since 2013.            </t>
    </r>
    <phoneticPr fontId="6" type="noConversion"/>
  </si>
  <si>
    <r>
      <rPr>
        <sz val="10"/>
        <rFont val="華康粗圓體"/>
        <family val="3"/>
        <charset val="136"/>
      </rPr>
      <t>民眾</t>
    </r>
    <r>
      <rPr>
        <sz val="10"/>
        <rFont val="Arial Narrow"/>
        <family val="2"/>
      </rPr>
      <t xml:space="preserve"> </t>
    </r>
    <phoneticPr fontId="6" type="noConversion"/>
  </si>
  <si>
    <r>
      <rPr>
        <sz val="10"/>
        <rFont val="華康粗圓體"/>
        <family val="3"/>
        <charset val="136"/>
      </rPr>
      <t>榮民</t>
    </r>
    <phoneticPr fontId="4" type="noConversion"/>
  </si>
  <si>
    <r>
      <rPr>
        <sz val="10"/>
        <rFont val="華康粗圓體"/>
        <family val="3"/>
        <charset val="136"/>
      </rPr>
      <t>原住民</t>
    </r>
    <phoneticPr fontId="4" type="noConversion"/>
  </si>
  <si>
    <r>
      <rPr>
        <sz val="10"/>
        <rFont val="華康粗圓體"/>
        <family val="3"/>
        <charset val="136"/>
      </rPr>
      <t>財產或存款未能及時
運用致生活陷於困境者</t>
    </r>
    <phoneticPr fontId="6" type="noConversion"/>
  </si>
  <si>
    <r>
      <rPr>
        <sz val="10"/>
        <rFont val="華康粗圓體"/>
        <family val="3"/>
        <charset val="136"/>
      </rPr>
      <t>救助人數</t>
    </r>
    <phoneticPr fontId="6" type="noConversion"/>
  </si>
  <si>
    <r>
      <rPr>
        <sz val="10"/>
        <rFont val="華康粗圓體"/>
        <family val="3"/>
        <charset val="136"/>
      </rPr>
      <t>資料來源：本府社會局、原住民族行政局。</t>
    </r>
    <phoneticPr fontId="6" type="noConversion"/>
  </si>
  <si>
    <r>
      <rPr>
        <sz val="10"/>
        <rFont val="華康粗圓體"/>
        <family val="3"/>
        <charset val="136"/>
      </rPr>
      <t>限　　額
醫療補助</t>
    </r>
    <phoneticPr fontId="4" type="noConversion"/>
  </si>
  <si>
    <r>
      <rPr>
        <sz val="10"/>
        <color indexed="9"/>
        <rFont val="華康粗圓體"/>
        <family val="3"/>
        <charset val="136"/>
      </rPr>
      <t>說明：</t>
    </r>
    <r>
      <rPr>
        <sz val="10"/>
        <rFont val="華康粗圓體"/>
        <family val="3"/>
        <charset val="136"/>
      </rPr>
      <t>「限額醫療補助」。</t>
    </r>
    <phoneticPr fontId="6" type="noConversion"/>
  </si>
  <si>
    <r>
      <rPr>
        <sz val="10"/>
        <color indexed="9"/>
        <rFont val="Arial Narrow"/>
        <family val="2"/>
      </rPr>
      <t xml:space="preserve">Note : </t>
    </r>
    <r>
      <rPr>
        <sz val="10"/>
        <rFont val="Arial Narrow"/>
        <family val="2"/>
      </rPr>
      <t xml:space="preserve">people and persons collapsing by roadside,and since 2016  amount of assistance for people and persons collapsing by roadside </t>
    </r>
    <phoneticPr fontId="6" type="noConversion"/>
  </si>
  <si>
    <r>
      <rPr>
        <sz val="10"/>
        <color indexed="9"/>
        <rFont val="Arial Narrow"/>
        <family val="2"/>
      </rPr>
      <t xml:space="preserve">Note : </t>
    </r>
    <r>
      <rPr>
        <sz val="10"/>
        <rFont val="Arial Narrow"/>
        <family val="2"/>
      </rPr>
      <t>were calculated in"Limited Medical Subsidies".</t>
    </r>
    <phoneticPr fontId="6" type="noConversion"/>
  </si>
  <si>
    <r>
      <t>65+</t>
    </r>
    <r>
      <rPr>
        <sz val="10"/>
        <rFont val="華康粗圓體"/>
        <family val="3"/>
        <charset val="136"/>
      </rPr>
      <t>人數</t>
    </r>
    <phoneticPr fontId="6" type="noConversion"/>
  </si>
  <si>
    <r>
      <rPr>
        <sz val="13"/>
        <rFont val="華康粗圓體"/>
        <family val="3"/>
        <charset val="136"/>
      </rPr>
      <t>表</t>
    </r>
    <r>
      <rPr>
        <sz val="13"/>
        <rFont val="Arial Narrow"/>
        <family val="2"/>
      </rPr>
      <t>11-10</t>
    </r>
    <r>
      <rPr>
        <sz val="13"/>
        <rFont val="華康粗圓體"/>
        <family val="3"/>
        <charset val="136"/>
      </rPr>
      <t>、中低收入老人生活津貼與老農津貼</t>
    </r>
    <phoneticPr fontId="6" type="noConversion"/>
  </si>
  <si>
    <r>
      <rPr>
        <sz val="10"/>
        <rFont val="華康粗圓體"/>
        <family val="3"/>
        <charset val="136"/>
      </rPr>
      <t>中低收入老人生活津貼</t>
    </r>
    <phoneticPr fontId="4" type="noConversion"/>
  </si>
  <si>
    <r>
      <rPr>
        <sz val="10"/>
        <rFont val="華康粗圓體"/>
        <family val="3"/>
        <charset val="136"/>
      </rPr>
      <t xml:space="preserve">合計
</t>
    </r>
    <r>
      <rPr>
        <sz val="10"/>
        <rFont val="Arial Narrow"/>
        <family val="2"/>
      </rPr>
      <t>Total</t>
    </r>
    <phoneticPr fontId="4" type="noConversion"/>
  </si>
  <si>
    <r>
      <rPr>
        <sz val="10"/>
        <rFont val="華康粗圓體"/>
        <family val="3"/>
        <charset val="136"/>
      </rPr>
      <t>低收入戶</t>
    </r>
    <r>
      <rPr>
        <sz val="10"/>
        <rFont val="Arial Narrow"/>
        <family val="2"/>
      </rPr>
      <t xml:space="preserve">      Low Income Elders</t>
    </r>
    <phoneticPr fontId="6" type="noConversion"/>
  </si>
  <si>
    <r>
      <rPr>
        <sz val="10"/>
        <rFont val="華康粗圓體"/>
        <family val="3"/>
        <charset val="136"/>
      </rPr>
      <t>資料來源：衛生福利部、勞動部勞工保險局。</t>
    </r>
    <phoneticPr fontId="4" type="noConversion"/>
  </si>
  <si>
    <r>
      <rPr>
        <sz val="10"/>
        <rFont val="華康粗圓體"/>
        <family val="3"/>
        <charset val="136"/>
      </rPr>
      <t>說　　明：人數為年底數字；金額為全年數字。</t>
    </r>
    <phoneticPr fontId="4" type="noConversion"/>
  </si>
  <si>
    <r>
      <rPr>
        <sz val="13"/>
        <rFont val="華康粗圓體"/>
        <family val="3"/>
        <charset val="136"/>
      </rPr>
      <t>表</t>
    </r>
    <r>
      <rPr>
        <sz val="13"/>
        <rFont val="Arial Narrow"/>
        <family val="2"/>
      </rPr>
      <t>11-9</t>
    </r>
    <r>
      <rPr>
        <sz val="13"/>
        <rFont val="華康粗圓體"/>
        <family val="3"/>
        <charset val="136"/>
      </rPr>
      <t>、中低收入戶人數及生活扶助</t>
    </r>
    <phoneticPr fontId="6" type="noConversion"/>
  </si>
  <si>
    <r>
      <rPr>
        <sz val="10"/>
        <rFont val="華康粗圓體"/>
        <family val="3"/>
        <charset val="136"/>
      </rPr>
      <t>單位：戶；人；人次；千元</t>
    </r>
    <phoneticPr fontId="6" type="noConversion"/>
  </si>
  <si>
    <r>
      <rPr>
        <sz val="10"/>
        <rFont val="華康粗圓體"/>
        <family val="3"/>
        <charset val="136"/>
      </rPr>
      <t>總計</t>
    </r>
    <r>
      <rPr>
        <sz val="10"/>
        <rFont val="Arial Narrow"/>
        <family val="2"/>
      </rPr>
      <t xml:space="preserve"> (</t>
    </r>
    <r>
      <rPr>
        <sz val="10"/>
        <rFont val="華康粗圓體"/>
        <family val="3"/>
        <charset val="136"/>
      </rPr>
      <t>年</t>
    </r>
    <r>
      <rPr>
        <sz val="10"/>
        <rFont val="Arial Narrow"/>
        <family val="2"/>
      </rPr>
      <t>(</t>
    </r>
    <r>
      <rPr>
        <sz val="10"/>
        <rFont val="華康粗圓體"/>
        <family val="3"/>
        <charset val="136"/>
      </rPr>
      <t>季</t>
    </r>
    <r>
      <rPr>
        <sz val="10"/>
        <rFont val="Arial Narrow"/>
        <family val="2"/>
      </rPr>
      <t>)</t>
    </r>
    <r>
      <rPr>
        <sz val="10"/>
        <rFont val="華康粗圓體"/>
        <family val="3"/>
        <charset val="136"/>
      </rPr>
      <t>底</t>
    </r>
    <r>
      <rPr>
        <sz val="10"/>
        <rFont val="Arial Narrow"/>
        <family val="2"/>
      </rPr>
      <t>)</t>
    </r>
    <phoneticPr fontId="4" type="noConversion"/>
  </si>
  <si>
    <r>
      <rPr>
        <sz val="10"/>
        <rFont val="華康粗圓體"/>
        <family val="3"/>
        <charset val="136"/>
      </rPr>
      <t>托兒補助</t>
    </r>
    <phoneticPr fontId="6" type="noConversion"/>
  </si>
  <si>
    <r>
      <rPr>
        <sz val="10"/>
        <rFont val="華康粗圓體"/>
        <family val="3"/>
        <charset val="136"/>
      </rPr>
      <t>生育補助</t>
    </r>
    <phoneticPr fontId="6" type="noConversion"/>
  </si>
  <si>
    <r>
      <rPr>
        <sz val="10"/>
        <rFont val="華康粗圓體"/>
        <family val="3"/>
        <charset val="136"/>
      </rPr>
      <t>其他必要之
救助及服務</t>
    </r>
    <phoneticPr fontId="6" type="noConversion"/>
  </si>
  <si>
    <r>
      <rPr>
        <sz val="10"/>
        <rFont val="華康粗圓體"/>
        <family val="3"/>
        <charset val="136"/>
      </rPr>
      <t>說明：</t>
    </r>
    <r>
      <rPr>
        <sz val="10"/>
        <rFont val="Arial Narrow"/>
        <family val="2"/>
      </rPr>
      <t>1.</t>
    </r>
    <r>
      <rPr>
        <sz val="10"/>
        <rFont val="華康粗圓體"/>
        <family val="3"/>
        <charset val="136"/>
      </rPr>
      <t>自</t>
    </r>
    <r>
      <rPr>
        <sz val="10"/>
        <rFont val="Arial Narrow"/>
        <family val="2"/>
      </rPr>
      <t>101</t>
    </r>
    <r>
      <rPr>
        <sz val="10"/>
        <rFont val="華康粗圓體"/>
        <family val="3"/>
        <charset val="136"/>
      </rPr>
      <t>年</t>
    </r>
    <r>
      <rPr>
        <sz val="10"/>
        <rFont val="Arial Narrow"/>
        <family val="2"/>
      </rPr>
      <t>7</t>
    </r>
    <r>
      <rPr>
        <sz val="10"/>
        <rFont val="華康粗圓體"/>
        <family val="3"/>
        <charset val="136"/>
      </rPr>
      <t>月</t>
    </r>
    <r>
      <rPr>
        <sz val="10"/>
        <rFont val="Arial Narrow"/>
        <family val="2"/>
      </rPr>
      <t>11</t>
    </r>
    <r>
      <rPr>
        <sz val="10"/>
        <rFont val="華康粗圓體"/>
        <family val="3"/>
        <charset val="136"/>
      </rPr>
      <t>日起，實施身心障礙鑑定與需求評估新制。</t>
    </r>
    <phoneticPr fontId="6" type="noConversion"/>
  </si>
  <si>
    <r>
      <t>Note</t>
    </r>
    <r>
      <rPr>
        <sz val="10"/>
        <rFont val="華康粗圓體"/>
        <family val="3"/>
        <charset val="136"/>
      </rPr>
      <t>：</t>
    </r>
    <r>
      <rPr>
        <sz val="10"/>
        <rFont val="Arial Narrow"/>
        <family val="2"/>
      </rPr>
      <t>1.Since July 11,2012 the identification and demand assessment of disability was implemented by New System.</t>
    </r>
    <phoneticPr fontId="6" type="noConversion"/>
  </si>
  <si>
    <r>
      <rPr>
        <sz val="10"/>
        <color indexed="9"/>
        <rFont val="華康粗圓體"/>
        <family val="3"/>
        <charset val="136"/>
      </rPr>
      <t>說明：</t>
    </r>
    <r>
      <rPr>
        <sz val="10"/>
        <rFont val="Arial Narrow"/>
        <family val="2"/>
      </rPr>
      <t>2.101</t>
    </r>
    <r>
      <rPr>
        <sz val="10"/>
        <rFont val="華康粗圓體"/>
        <family val="3"/>
        <charset val="136"/>
      </rPr>
      <t>年身心障礙人數僅統計舊制部分。</t>
    </r>
    <phoneticPr fontId="6" type="noConversion"/>
  </si>
  <si>
    <r>
      <rPr>
        <sz val="10"/>
        <rFont val="華康粗圓體"/>
        <family val="3"/>
        <charset val="136"/>
      </rPr>
      <t>青少年輔導院</t>
    </r>
    <phoneticPr fontId="6" type="noConversion"/>
  </si>
  <si>
    <r>
      <rPr>
        <sz val="10"/>
        <rFont val="華康粗圓體"/>
        <family val="3"/>
        <charset val="136"/>
      </rPr>
      <t>社會服務中心</t>
    </r>
    <phoneticPr fontId="6" type="noConversion"/>
  </si>
  <si>
    <r>
      <rPr>
        <sz val="10"/>
        <rFont val="華康粗圓體"/>
        <family val="3"/>
        <charset val="136"/>
      </rPr>
      <t>幼兒園</t>
    </r>
  </si>
  <si>
    <r>
      <rPr>
        <sz val="10"/>
        <rFont val="華康粗圓體"/>
        <family val="3"/>
        <charset val="136"/>
      </rPr>
      <t>身心障礙教養院</t>
    </r>
  </si>
  <si>
    <r>
      <rPr>
        <sz val="10"/>
        <rFont val="華康粗圓體"/>
        <family val="3"/>
        <charset val="136"/>
      </rPr>
      <t>青少年輔導院</t>
    </r>
  </si>
  <si>
    <r>
      <rPr>
        <sz val="10"/>
        <rFont val="華康粗圓體"/>
        <family val="3"/>
        <charset val="136"/>
      </rPr>
      <t>神職人員數（人）</t>
    </r>
    <phoneticPr fontId="6" type="noConversion"/>
  </si>
  <si>
    <r>
      <rPr>
        <sz val="9"/>
        <rFont val="華康粗圓體"/>
        <family val="3"/>
        <charset val="136"/>
      </rPr>
      <t>年別</t>
    </r>
    <phoneticPr fontId="6" type="noConversion"/>
  </si>
  <si>
    <r>
      <rPr>
        <sz val="9"/>
        <rFont val="華康粗圓體"/>
        <family val="3"/>
        <charset val="136"/>
      </rPr>
      <t xml:space="preserve">婦女福利機構、外籍配偶家庭服務中心
</t>
    </r>
    <r>
      <rPr>
        <sz val="9"/>
        <rFont val="Arial Narrow"/>
        <family val="2"/>
      </rPr>
      <t>Women Welfare Institutes and Foreign Spouse Family Service Centers</t>
    </r>
    <phoneticPr fontId="6" type="noConversion"/>
  </si>
  <si>
    <r>
      <rPr>
        <sz val="9"/>
        <rFont val="華康粗圓體"/>
        <family val="3"/>
        <charset val="136"/>
      </rPr>
      <t xml:space="preserve">婦女福利服務內容
</t>
    </r>
    <r>
      <rPr>
        <sz val="9"/>
        <rFont val="Arial Narrow"/>
        <family val="2"/>
      </rPr>
      <t>Service Contents</t>
    </r>
    <phoneticPr fontId="6" type="noConversion"/>
  </si>
  <si>
    <r>
      <rPr>
        <b/>
        <sz val="9"/>
        <color indexed="10"/>
        <rFont val="華康粗圓體"/>
        <family val="3"/>
        <charset val="136"/>
      </rPr>
      <t>問題</t>
    </r>
    <r>
      <rPr>
        <b/>
        <sz val="9"/>
        <color indexed="10"/>
        <rFont val="Arial Narrow"/>
        <family val="2"/>
      </rPr>
      <t>:</t>
    </r>
    <r>
      <rPr>
        <b/>
        <sz val="9"/>
        <color indexed="10"/>
        <rFont val="華康粗圓體"/>
        <family val="3"/>
        <charset val="136"/>
      </rPr>
      <t>報表</t>
    </r>
    <r>
      <rPr>
        <b/>
        <sz val="9"/>
        <color indexed="10"/>
        <rFont val="Arial Narrow"/>
        <family val="2"/>
      </rPr>
      <t>106</t>
    </r>
    <r>
      <rPr>
        <b/>
        <sz val="9"/>
        <color indexed="10"/>
        <rFont val="華康粗圓體"/>
        <family val="3"/>
        <charset val="136"/>
      </rPr>
      <t>上半婦女服務機構，紙本數字與系統未符合</t>
    </r>
    <phoneticPr fontId="4" type="noConversion"/>
  </si>
  <si>
    <r>
      <rPr>
        <sz val="9"/>
        <rFont val="華康粗圓體"/>
        <family val="3"/>
        <charset val="136"/>
      </rPr>
      <t xml:space="preserve">年底婦女福利
服務中心機構數
</t>
    </r>
    <r>
      <rPr>
        <sz val="9"/>
        <rFont val="Arial Narrow"/>
        <family val="2"/>
      </rPr>
      <t>(</t>
    </r>
    <r>
      <rPr>
        <sz val="9"/>
        <rFont val="華康粗圓體"/>
        <family val="3"/>
        <charset val="136"/>
      </rPr>
      <t>所</t>
    </r>
    <r>
      <rPr>
        <sz val="9"/>
        <rFont val="Arial Narrow"/>
        <family val="2"/>
      </rPr>
      <t>)</t>
    </r>
    <phoneticPr fontId="6" type="noConversion"/>
  </si>
  <si>
    <r>
      <rPr>
        <sz val="9"/>
        <rFont val="華康粗圓體"/>
        <family val="3"/>
        <charset val="136"/>
      </rPr>
      <t>婦女中途之家、庇護中心</t>
    </r>
    <phoneticPr fontId="6" type="noConversion"/>
  </si>
  <si>
    <r>
      <rPr>
        <sz val="9"/>
        <rFont val="華康粗圓體"/>
        <family val="3"/>
        <charset val="136"/>
      </rPr>
      <t xml:space="preserve">年底外籍配偶家庭
服務中心機構數
</t>
    </r>
    <r>
      <rPr>
        <sz val="9"/>
        <rFont val="Arial Narrow"/>
        <family val="2"/>
      </rPr>
      <t>(</t>
    </r>
    <r>
      <rPr>
        <sz val="9"/>
        <rFont val="華康粗圓體"/>
        <family val="3"/>
        <charset val="136"/>
      </rPr>
      <t>所</t>
    </r>
    <r>
      <rPr>
        <sz val="9"/>
        <rFont val="Arial Narrow"/>
        <family val="2"/>
      </rPr>
      <t>)</t>
    </r>
    <phoneticPr fontId="4" type="noConversion"/>
  </si>
  <si>
    <r>
      <rPr>
        <sz val="9"/>
        <rFont val="華康粗圓體"/>
        <family val="3"/>
        <charset val="136"/>
      </rPr>
      <t xml:space="preserve">法律諮詢
</t>
    </r>
    <r>
      <rPr>
        <sz val="9"/>
        <rFont val="Arial Narrow"/>
        <family val="2"/>
      </rPr>
      <t>(</t>
    </r>
    <r>
      <rPr>
        <sz val="9"/>
        <rFont val="華康粗圓體"/>
        <family val="3"/>
        <charset val="136"/>
      </rPr>
      <t>人次</t>
    </r>
    <r>
      <rPr>
        <sz val="9"/>
        <rFont val="Arial Narrow"/>
        <family val="2"/>
      </rPr>
      <t>)</t>
    </r>
    <phoneticPr fontId="6" type="noConversion"/>
  </si>
  <si>
    <r>
      <rPr>
        <sz val="9"/>
        <rFont val="華康粗圓體"/>
        <family val="3"/>
        <charset val="136"/>
      </rPr>
      <t xml:space="preserve">諮商輔導
</t>
    </r>
    <r>
      <rPr>
        <sz val="9"/>
        <rFont val="Arial Narrow"/>
        <family val="2"/>
      </rPr>
      <t>(</t>
    </r>
    <r>
      <rPr>
        <sz val="9"/>
        <rFont val="華康粗圓體"/>
        <family val="3"/>
        <charset val="136"/>
      </rPr>
      <t>人次</t>
    </r>
    <r>
      <rPr>
        <sz val="9"/>
        <rFont val="Arial Narrow"/>
        <family val="2"/>
      </rPr>
      <t>)</t>
    </r>
    <phoneticPr fontId="6" type="noConversion"/>
  </si>
  <si>
    <r>
      <rPr>
        <sz val="9"/>
        <rFont val="華康粗圓體"/>
        <family val="3"/>
        <charset val="136"/>
      </rPr>
      <t>親職講座</t>
    </r>
    <phoneticPr fontId="6" type="noConversion"/>
  </si>
  <si>
    <r>
      <rPr>
        <sz val="9"/>
        <rFont val="華康粗圓體"/>
        <family val="3"/>
        <charset val="136"/>
      </rPr>
      <t>婦女福利活動</t>
    </r>
    <phoneticPr fontId="6" type="noConversion"/>
  </si>
  <si>
    <r>
      <rPr>
        <sz val="9"/>
        <rFont val="華康粗圓體"/>
        <family val="3"/>
        <charset val="136"/>
      </rPr>
      <t>婦女學苑</t>
    </r>
    <phoneticPr fontId="6" type="noConversion"/>
  </si>
  <si>
    <r>
      <rPr>
        <sz val="9"/>
        <rFont val="華康粗圓體"/>
        <family val="3"/>
        <charset val="136"/>
      </rPr>
      <t>其他</t>
    </r>
    <phoneticPr fontId="6" type="noConversion"/>
  </si>
  <si>
    <r>
      <rPr>
        <sz val="9"/>
        <rFont val="華康粗圓體"/>
        <family val="3"/>
        <charset val="136"/>
      </rPr>
      <t xml:space="preserve">年底機構數
</t>
    </r>
    <r>
      <rPr>
        <sz val="9"/>
        <rFont val="Arial Narrow"/>
        <family val="2"/>
      </rPr>
      <t>(</t>
    </r>
    <r>
      <rPr>
        <sz val="9"/>
        <rFont val="華康粗圓體"/>
        <family val="3"/>
        <charset val="136"/>
      </rPr>
      <t>所</t>
    </r>
    <r>
      <rPr>
        <sz val="9"/>
        <rFont val="Arial Narrow"/>
        <family val="2"/>
      </rPr>
      <t>)</t>
    </r>
    <phoneticPr fontId="6" type="noConversion"/>
  </si>
  <si>
    <r>
      <rPr>
        <sz val="9"/>
        <rFont val="華康粗圓體"/>
        <family val="3"/>
        <charset val="136"/>
      </rPr>
      <t xml:space="preserve">收容個案數
</t>
    </r>
    <r>
      <rPr>
        <sz val="9"/>
        <rFont val="Arial Narrow"/>
        <family val="2"/>
      </rPr>
      <t>(</t>
    </r>
    <r>
      <rPr>
        <sz val="9"/>
        <rFont val="華康粗圓體"/>
        <family val="3"/>
        <charset val="136"/>
      </rPr>
      <t>人次</t>
    </r>
    <r>
      <rPr>
        <sz val="9"/>
        <rFont val="Arial Narrow"/>
        <family val="2"/>
      </rPr>
      <t>)</t>
    </r>
    <phoneticPr fontId="6" type="noConversion"/>
  </si>
  <si>
    <r>
      <rPr>
        <sz val="9"/>
        <rFont val="華康粗圓體"/>
        <family val="3"/>
        <charset val="136"/>
      </rPr>
      <t>民國</t>
    </r>
    <r>
      <rPr>
        <sz val="9"/>
        <rFont val="Arial Narrow"/>
        <family val="2"/>
      </rPr>
      <t>98</t>
    </r>
    <r>
      <rPr>
        <sz val="9"/>
        <rFont val="華康粗圓體"/>
        <family val="3"/>
        <charset val="136"/>
      </rPr>
      <t xml:space="preserve">年
</t>
    </r>
    <r>
      <rPr>
        <sz val="9"/>
        <rFont val="Arial Narrow"/>
        <family val="2"/>
      </rPr>
      <t>2009</t>
    </r>
    <phoneticPr fontId="6" type="noConversion"/>
  </si>
  <si>
    <r>
      <rPr>
        <sz val="9"/>
        <rFont val="華康粗圓體"/>
        <family val="3"/>
        <charset val="136"/>
      </rPr>
      <t>民國</t>
    </r>
    <r>
      <rPr>
        <sz val="9"/>
        <rFont val="Arial Narrow"/>
        <family val="2"/>
      </rPr>
      <t>99</t>
    </r>
    <r>
      <rPr>
        <sz val="9"/>
        <rFont val="華康粗圓體"/>
        <family val="3"/>
        <charset val="136"/>
      </rPr>
      <t xml:space="preserve">年
</t>
    </r>
    <r>
      <rPr>
        <sz val="9"/>
        <rFont val="Arial Narrow"/>
        <family val="2"/>
      </rPr>
      <t>2010</t>
    </r>
    <phoneticPr fontId="6" type="noConversion"/>
  </si>
  <si>
    <r>
      <rPr>
        <sz val="9"/>
        <rFont val="華康粗圓體"/>
        <family val="3"/>
        <charset val="136"/>
      </rPr>
      <t>民國</t>
    </r>
    <r>
      <rPr>
        <sz val="9"/>
        <rFont val="Arial Narrow"/>
        <family val="2"/>
      </rPr>
      <t>100</t>
    </r>
    <r>
      <rPr>
        <sz val="9"/>
        <rFont val="華康粗圓體"/>
        <family val="3"/>
        <charset val="136"/>
      </rPr>
      <t xml:space="preserve">年
</t>
    </r>
    <r>
      <rPr>
        <sz val="9"/>
        <rFont val="Arial Narrow"/>
        <family val="2"/>
      </rPr>
      <t>2011</t>
    </r>
    <phoneticPr fontId="6" type="noConversion"/>
  </si>
  <si>
    <r>
      <rPr>
        <sz val="9"/>
        <rFont val="華康粗圓體"/>
        <family val="3"/>
        <charset val="136"/>
      </rPr>
      <t>民國</t>
    </r>
    <r>
      <rPr>
        <sz val="9"/>
        <rFont val="Arial Narrow"/>
        <family val="2"/>
      </rPr>
      <t>101</t>
    </r>
    <r>
      <rPr>
        <sz val="9"/>
        <rFont val="華康粗圓體"/>
        <family val="3"/>
        <charset val="136"/>
      </rPr>
      <t xml:space="preserve">年
</t>
    </r>
    <r>
      <rPr>
        <sz val="9"/>
        <rFont val="Arial Narrow"/>
        <family val="2"/>
      </rPr>
      <t>2012</t>
    </r>
    <phoneticPr fontId="6" type="noConversion"/>
  </si>
  <si>
    <r>
      <rPr>
        <sz val="9"/>
        <rFont val="華康粗圓體"/>
        <family val="3"/>
        <charset val="136"/>
      </rPr>
      <t>民國</t>
    </r>
    <r>
      <rPr>
        <sz val="9"/>
        <rFont val="Arial Narrow"/>
        <family val="2"/>
      </rPr>
      <t>102</t>
    </r>
    <r>
      <rPr>
        <sz val="9"/>
        <rFont val="華康粗圓體"/>
        <family val="3"/>
        <charset val="136"/>
      </rPr>
      <t xml:space="preserve">年
</t>
    </r>
    <r>
      <rPr>
        <sz val="9"/>
        <rFont val="Arial Narrow"/>
        <family val="2"/>
      </rPr>
      <t>2013</t>
    </r>
    <phoneticPr fontId="6" type="noConversion"/>
  </si>
  <si>
    <r>
      <rPr>
        <sz val="9"/>
        <rFont val="華康粗圓體"/>
        <family val="3"/>
        <charset val="136"/>
      </rPr>
      <t xml:space="preserve">諮詢服務
</t>
    </r>
    <r>
      <rPr>
        <sz val="9"/>
        <rFont val="Arial Narrow"/>
        <family val="2"/>
      </rPr>
      <t>(</t>
    </r>
    <r>
      <rPr>
        <sz val="9"/>
        <rFont val="華康粗圓體"/>
        <family val="3"/>
        <charset val="136"/>
      </rPr>
      <t>人次</t>
    </r>
    <r>
      <rPr>
        <sz val="9"/>
        <rFont val="Arial Narrow"/>
        <family val="2"/>
      </rPr>
      <t>)</t>
    </r>
    <phoneticPr fontId="6" type="noConversion"/>
  </si>
  <si>
    <r>
      <rPr>
        <sz val="9"/>
        <rFont val="華康粗圓體"/>
        <family val="3"/>
        <charset val="136"/>
      </rPr>
      <t xml:space="preserve">個案管理服務
</t>
    </r>
    <r>
      <rPr>
        <sz val="9"/>
        <rFont val="Arial Narrow"/>
        <family val="2"/>
      </rPr>
      <t>(</t>
    </r>
    <r>
      <rPr>
        <sz val="9"/>
        <rFont val="華康粗圓體"/>
        <family val="3"/>
        <charset val="136"/>
      </rPr>
      <t>人次</t>
    </r>
    <r>
      <rPr>
        <sz val="9"/>
        <rFont val="Arial Narrow"/>
        <family val="2"/>
      </rPr>
      <t>)</t>
    </r>
    <phoneticPr fontId="6" type="noConversion"/>
  </si>
  <si>
    <r>
      <rPr>
        <sz val="9"/>
        <rFont val="華康粗圓體"/>
        <family val="3"/>
        <charset val="136"/>
      </rPr>
      <t>團體方案服務</t>
    </r>
    <phoneticPr fontId="6" type="noConversion"/>
  </si>
  <si>
    <r>
      <rPr>
        <sz val="9"/>
        <rFont val="華康粗圓體"/>
        <family val="3"/>
        <charset val="136"/>
      </rPr>
      <t>婦女組織培力活動</t>
    </r>
    <phoneticPr fontId="6" type="noConversion"/>
  </si>
  <si>
    <r>
      <rPr>
        <sz val="9"/>
        <rFont val="華康粗圓體"/>
        <family val="3"/>
        <charset val="136"/>
      </rPr>
      <t>性別意識培力活動</t>
    </r>
    <phoneticPr fontId="6" type="noConversion"/>
  </si>
  <si>
    <r>
      <rPr>
        <sz val="9"/>
        <rFont val="華康粗圓體"/>
        <family val="3"/>
        <charset val="136"/>
      </rPr>
      <t>民國</t>
    </r>
    <r>
      <rPr>
        <sz val="9"/>
        <rFont val="Arial Narrow"/>
        <family val="2"/>
      </rPr>
      <t>103</t>
    </r>
    <r>
      <rPr>
        <sz val="9"/>
        <rFont val="華康粗圓體"/>
        <family val="3"/>
        <charset val="136"/>
      </rPr>
      <t xml:space="preserve">年
</t>
    </r>
    <r>
      <rPr>
        <sz val="9"/>
        <rFont val="Arial Narrow"/>
        <family val="2"/>
      </rPr>
      <t>2014</t>
    </r>
    <phoneticPr fontId="6" type="noConversion"/>
  </si>
  <si>
    <r>
      <rPr>
        <sz val="9"/>
        <rFont val="華康粗圓體"/>
        <family val="3"/>
        <charset val="136"/>
      </rPr>
      <t>民國</t>
    </r>
    <r>
      <rPr>
        <sz val="9"/>
        <rFont val="Arial Narrow"/>
        <family val="2"/>
      </rPr>
      <t>104</t>
    </r>
    <r>
      <rPr>
        <sz val="9"/>
        <rFont val="華康粗圓體"/>
        <family val="3"/>
        <charset val="136"/>
      </rPr>
      <t xml:space="preserve">年
</t>
    </r>
    <r>
      <rPr>
        <sz val="9"/>
        <rFont val="Arial Narrow"/>
        <family val="2"/>
      </rPr>
      <t>2015</t>
    </r>
    <phoneticPr fontId="6" type="noConversion"/>
  </si>
  <si>
    <r>
      <rPr>
        <sz val="9"/>
        <rFont val="華康粗圓體"/>
        <family val="3"/>
        <charset val="136"/>
      </rPr>
      <t>民國</t>
    </r>
    <r>
      <rPr>
        <sz val="9"/>
        <rFont val="Arial Narrow"/>
        <family val="2"/>
      </rPr>
      <t>105</t>
    </r>
    <r>
      <rPr>
        <sz val="9"/>
        <rFont val="華康粗圓體"/>
        <family val="3"/>
        <charset val="136"/>
      </rPr>
      <t xml:space="preserve">年
</t>
    </r>
    <r>
      <rPr>
        <sz val="9"/>
        <rFont val="Arial Narrow"/>
        <family val="2"/>
      </rPr>
      <t>2016</t>
    </r>
    <phoneticPr fontId="6" type="noConversion"/>
  </si>
  <si>
    <r>
      <rPr>
        <sz val="9"/>
        <rFont val="華康粗圓體"/>
        <family val="3"/>
        <charset val="136"/>
      </rPr>
      <t xml:space="preserve">婦女福利機構、新住民家庭服務中心
</t>
    </r>
    <r>
      <rPr>
        <sz val="9"/>
        <rFont val="Arial Narrow"/>
        <family val="2"/>
      </rPr>
      <t>Women Welfare Institutes and New Resident Family Service Centers</t>
    </r>
    <phoneticPr fontId="6" type="noConversion"/>
  </si>
  <si>
    <r>
      <rPr>
        <sz val="9"/>
        <rFont val="華康粗圓體"/>
        <family val="3"/>
        <charset val="136"/>
      </rPr>
      <t>年底新住民家庭服務中心機構數</t>
    </r>
    <r>
      <rPr>
        <sz val="9"/>
        <rFont val="Arial Narrow"/>
        <family val="2"/>
      </rPr>
      <t>(</t>
    </r>
    <r>
      <rPr>
        <sz val="9"/>
        <rFont val="華康粗圓體"/>
        <family val="3"/>
        <charset val="136"/>
      </rPr>
      <t>所</t>
    </r>
    <r>
      <rPr>
        <sz val="9"/>
        <rFont val="Arial Narrow"/>
        <family val="2"/>
      </rPr>
      <t>)</t>
    </r>
    <phoneticPr fontId="6" type="noConversion"/>
  </si>
  <si>
    <r>
      <rPr>
        <sz val="9"/>
        <rFont val="華康粗圓體"/>
        <family val="3"/>
        <charset val="136"/>
      </rPr>
      <t>婦女團體組織
能力培訓</t>
    </r>
    <phoneticPr fontId="6" type="noConversion"/>
  </si>
  <si>
    <r>
      <rPr>
        <sz val="9"/>
        <rFont val="華康粗圓體"/>
        <family val="3"/>
        <charset val="136"/>
      </rPr>
      <t>婦女團體領導人
培訓</t>
    </r>
    <phoneticPr fontId="6" type="noConversion"/>
  </si>
  <si>
    <r>
      <rPr>
        <sz val="9"/>
        <rFont val="華康粗圓體"/>
        <family val="3"/>
        <charset val="136"/>
      </rPr>
      <t>性別意識培力
活動</t>
    </r>
    <phoneticPr fontId="6" type="noConversion"/>
  </si>
  <si>
    <r>
      <rPr>
        <sz val="9"/>
        <rFont val="華康粗圓體"/>
        <family val="3"/>
        <charset val="136"/>
      </rPr>
      <t>性別師資培訓
課程</t>
    </r>
    <phoneticPr fontId="6" type="noConversion"/>
  </si>
  <si>
    <r>
      <rPr>
        <sz val="9"/>
        <rFont val="華康粗圓體"/>
        <family val="3"/>
        <charset val="136"/>
      </rPr>
      <t>婦女相關議題之溝通平台或公共論壇</t>
    </r>
    <phoneticPr fontId="6" type="noConversion"/>
  </si>
  <si>
    <r>
      <rPr>
        <sz val="9"/>
        <rFont val="華康粗圓體"/>
        <family val="3"/>
        <charset val="136"/>
      </rPr>
      <t>民國</t>
    </r>
    <r>
      <rPr>
        <sz val="9"/>
        <rFont val="Arial Narrow"/>
        <family val="2"/>
      </rPr>
      <t>106</t>
    </r>
    <r>
      <rPr>
        <sz val="9"/>
        <rFont val="華康粗圓體"/>
        <family val="3"/>
        <charset val="136"/>
      </rPr>
      <t xml:space="preserve">年
</t>
    </r>
    <r>
      <rPr>
        <sz val="9"/>
        <rFont val="Arial Narrow"/>
        <family val="2"/>
      </rPr>
      <t>2017</t>
    </r>
    <phoneticPr fontId="6" type="noConversion"/>
  </si>
  <si>
    <r>
      <rPr>
        <sz val="9"/>
        <rFont val="華康粗圓體"/>
        <family val="3"/>
        <charset val="136"/>
      </rPr>
      <t>資料來源：本府社會局。</t>
    </r>
    <phoneticPr fontId="6" type="noConversion"/>
  </si>
  <si>
    <r>
      <rPr>
        <sz val="9"/>
        <rFont val="華康粗圓體"/>
        <family val="3"/>
        <charset val="136"/>
      </rPr>
      <t>說　　明：</t>
    </r>
    <r>
      <rPr>
        <sz val="9"/>
        <rFont val="Arial Narrow"/>
        <family val="2"/>
      </rPr>
      <t>1.</t>
    </r>
    <r>
      <rPr>
        <sz val="9"/>
        <rFont val="華康粗圓體"/>
        <family val="3"/>
        <charset val="136"/>
      </rPr>
      <t>自</t>
    </r>
    <r>
      <rPr>
        <sz val="9"/>
        <rFont val="Arial Narrow"/>
        <family val="2"/>
      </rPr>
      <t>102</t>
    </r>
    <r>
      <rPr>
        <sz val="9"/>
        <rFont val="華康粗圓體"/>
        <family val="3"/>
        <charset val="136"/>
      </rPr>
      <t>年起婦女法律諮詢、諮商輔導人次納入本府法務局及各區公所法律諮詢中心相關服務人次。</t>
    </r>
    <phoneticPr fontId="6" type="noConversion"/>
  </si>
  <si>
    <r>
      <rPr>
        <sz val="9"/>
        <color indexed="9"/>
        <rFont val="華康粗圓體"/>
        <family val="3"/>
        <charset val="136"/>
      </rPr>
      <t>說　　明：</t>
    </r>
    <r>
      <rPr>
        <sz val="9"/>
        <rFont val="Arial Narrow"/>
        <family val="2"/>
      </rPr>
      <t>2.</t>
    </r>
    <r>
      <rPr>
        <sz val="9"/>
        <rFont val="華康粗圓體"/>
        <family val="3"/>
        <charset val="136"/>
      </rPr>
      <t>自</t>
    </r>
    <r>
      <rPr>
        <sz val="9"/>
        <rFont val="Arial Narrow"/>
        <family val="2"/>
      </rPr>
      <t>103</t>
    </r>
    <r>
      <rPr>
        <sz val="9"/>
        <rFont val="華康粗圓體"/>
        <family val="3"/>
        <charset val="136"/>
      </rPr>
      <t>年起婦女福利服務中心機構數納入各區家庭服務中心數。　</t>
    </r>
    <phoneticPr fontId="6" type="noConversion"/>
  </si>
  <si>
    <r>
      <rPr>
        <sz val="9"/>
        <color indexed="9"/>
        <rFont val="華康粗圓體"/>
        <family val="3"/>
        <charset val="136"/>
      </rPr>
      <t>說　　明：</t>
    </r>
    <r>
      <rPr>
        <sz val="9"/>
        <rFont val="Arial Narrow"/>
        <family val="2"/>
      </rPr>
      <t>3.106</t>
    </r>
    <r>
      <rPr>
        <sz val="9"/>
        <rFont val="華康粗圓體"/>
        <family val="3"/>
        <charset val="136"/>
      </rPr>
      <t>年起外籍配偶更名為新住民。</t>
    </r>
    <phoneticPr fontId="6" type="noConversion"/>
  </si>
  <si>
    <r>
      <rPr>
        <sz val="9"/>
        <color indexed="9"/>
        <rFont val="華康粗圓體"/>
        <family val="3"/>
        <charset val="136"/>
      </rPr>
      <t>說　　明：</t>
    </r>
    <r>
      <rPr>
        <sz val="9"/>
        <rFont val="Arial Narrow"/>
        <family val="2"/>
      </rPr>
      <t>4.103</t>
    </r>
    <r>
      <rPr>
        <sz val="9"/>
        <rFont val="華康粗圓體"/>
        <family val="3"/>
        <charset val="136"/>
      </rPr>
      <t>年及</t>
    </r>
    <r>
      <rPr>
        <sz val="9"/>
        <rFont val="Arial Narrow"/>
        <family val="2"/>
      </rPr>
      <t>106</t>
    </r>
    <r>
      <rPr>
        <sz val="9"/>
        <rFont val="華康粗圓體"/>
        <family val="3"/>
        <charset val="136"/>
      </rPr>
      <t>年報表格式修訂，故本表格式異動。</t>
    </r>
    <phoneticPr fontId="6" type="noConversion"/>
  </si>
  <si>
    <t>Women's Related Issues of Communication Platform or Public Forum</t>
    <phoneticPr fontId="6" type="noConversion"/>
  </si>
  <si>
    <r>
      <t xml:space="preserve">Note :   </t>
    </r>
    <r>
      <rPr>
        <sz val="10"/>
        <rFont val="Arial Narrow"/>
        <family val="2"/>
      </rPr>
      <t>and they were not calculated in grand total.</t>
    </r>
    <phoneticPr fontId="6" type="noConversion"/>
  </si>
  <si>
    <r>
      <t>Note</t>
    </r>
    <r>
      <rPr>
        <sz val="10"/>
        <rFont val="華康粗圓體"/>
        <family val="3"/>
        <charset val="136"/>
      </rPr>
      <t>：</t>
    </r>
    <r>
      <rPr>
        <sz val="10"/>
        <rFont val="Arial Narrow"/>
        <family val="2"/>
      </rPr>
      <t xml:space="preserve">1.Directors and Supervisors,Volunteers of Community Volunteer Service,Community Care Centers,and Achievements of Services </t>
    </r>
    <phoneticPr fontId="6" type="noConversion"/>
  </si>
  <si>
    <r>
      <rPr>
        <sz val="13"/>
        <rFont val="華康粗圓體"/>
        <family val="3"/>
        <charset val="136"/>
      </rPr>
      <t>表</t>
    </r>
    <r>
      <rPr>
        <sz val="13"/>
        <rFont val="Arial Narrow"/>
        <family val="2"/>
      </rPr>
      <t>11-5</t>
    </r>
    <r>
      <rPr>
        <sz val="13"/>
        <rFont val="華康粗圓體"/>
        <family val="3"/>
        <charset val="136"/>
      </rPr>
      <t>、推行社區發展工作成果</t>
    </r>
    <phoneticPr fontId="6" type="noConversion"/>
  </si>
  <si>
    <r>
      <rPr>
        <sz val="10"/>
        <rFont val="華康粗圓體"/>
        <family val="3"/>
        <charset val="136"/>
      </rPr>
      <t>年度及
區別</t>
    </r>
    <phoneticPr fontId="4" type="noConversion"/>
  </si>
  <si>
    <r>
      <rPr>
        <sz val="9"/>
        <rFont val="華康粗圓體"/>
        <family val="3"/>
        <charset val="136"/>
      </rPr>
      <t>社區發展
協</t>
    </r>
    <r>
      <rPr>
        <sz val="9"/>
        <rFont val="Arial Narrow"/>
        <family val="2"/>
      </rPr>
      <t xml:space="preserve"> </t>
    </r>
    <r>
      <rPr>
        <sz val="9"/>
        <rFont val="華康粗圓體"/>
        <family val="3"/>
        <charset val="136"/>
      </rPr>
      <t>會</t>
    </r>
    <r>
      <rPr>
        <sz val="9"/>
        <rFont val="Arial Narrow"/>
        <family val="2"/>
      </rPr>
      <t xml:space="preserve"> </t>
    </r>
    <r>
      <rPr>
        <sz val="9"/>
        <rFont val="華康粗圓體"/>
        <family val="3"/>
        <charset val="136"/>
      </rPr>
      <t>數</t>
    </r>
    <phoneticPr fontId="4" type="noConversion"/>
  </si>
  <si>
    <r>
      <rPr>
        <sz val="9"/>
        <rFont val="華康粗圓體"/>
        <family val="3"/>
        <charset val="136"/>
      </rPr>
      <t>社區戶數</t>
    </r>
    <phoneticPr fontId="4" type="noConversion"/>
  </si>
  <si>
    <r>
      <rPr>
        <sz val="9"/>
        <rFont val="華康粗圓體"/>
        <family val="3"/>
        <charset val="136"/>
      </rPr>
      <t>社　區
人口數</t>
    </r>
    <phoneticPr fontId="4" type="noConversion"/>
  </si>
  <si>
    <r>
      <rPr>
        <sz val="9"/>
        <rFont val="華康粗圓體"/>
        <family val="3"/>
        <charset val="136"/>
      </rPr>
      <t>社　區
圖書室　　</t>
    </r>
    <phoneticPr fontId="4" type="noConversion"/>
  </si>
  <si>
    <r>
      <rPr>
        <sz val="9"/>
        <rFont val="華康粗圓體"/>
        <family val="3"/>
        <charset val="136"/>
      </rPr>
      <t>社區
刊物</t>
    </r>
    <phoneticPr fontId="4" type="noConversion"/>
  </si>
  <si>
    <r>
      <rPr>
        <sz val="9"/>
        <rFont val="華康粗圓體"/>
        <family val="3"/>
        <charset val="136"/>
      </rPr>
      <t xml:space="preserve">服務成果
</t>
    </r>
    <r>
      <rPr>
        <sz val="9"/>
        <rFont val="Arial Narrow"/>
        <family val="2"/>
      </rPr>
      <t>Achievements of Services</t>
    </r>
    <phoneticPr fontId="6" type="noConversion"/>
  </si>
  <si>
    <r>
      <rPr>
        <sz val="10"/>
        <color indexed="9"/>
        <rFont val="Arial Narrow"/>
        <family val="2"/>
      </rPr>
      <t>Note</t>
    </r>
    <r>
      <rPr>
        <sz val="10"/>
        <color indexed="9"/>
        <rFont val="華康粗圓體"/>
        <family val="3"/>
        <charset val="136"/>
      </rPr>
      <t>：</t>
    </r>
    <r>
      <rPr>
        <sz val="10"/>
        <color indexed="9"/>
        <rFont val="Arial Narrow"/>
        <family val="2"/>
      </rPr>
      <t xml:space="preserve">   </t>
    </r>
    <r>
      <rPr>
        <sz val="10"/>
        <rFont val="Arial Narrow"/>
        <family val="2"/>
      </rPr>
      <t>were included in the statistics since 2012.</t>
    </r>
    <phoneticPr fontId="6" type="noConversion"/>
  </si>
  <si>
    <r>
      <rPr>
        <sz val="10"/>
        <rFont val="華康粗圓體"/>
        <family val="3"/>
        <charset val="136"/>
      </rPr>
      <t>說明：</t>
    </r>
    <r>
      <rPr>
        <sz val="10"/>
        <rFont val="Arial Narrow"/>
        <family val="2"/>
      </rPr>
      <t>1.101</t>
    </r>
    <r>
      <rPr>
        <sz val="10"/>
        <rFont val="華康粗圓體"/>
        <family val="3"/>
        <charset val="136"/>
      </rPr>
      <t>年起始有理監事人數、社區志願服務志工數、辦理社區照顧關懷據點及服務成果相關統計。</t>
    </r>
    <phoneticPr fontId="6" type="noConversion"/>
  </si>
  <si>
    <t>End of 2018</t>
  </si>
  <si>
    <t>End of 2012</t>
  </si>
  <si>
    <t>End of 2013</t>
  </si>
  <si>
    <t>End of 2014</t>
  </si>
  <si>
    <t>End of 2015</t>
  </si>
  <si>
    <t>End of 2016</t>
  </si>
  <si>
    <t>End of 2017</t>
  </si>
  <si>
    <r>
      <rPr>
        <sz val="10"/>
        <rFont val="華康粗圓體"/>
        <family val="3"/>
        <charset val="136"/>
      </rPr>
      <t>民國</t>
    </r>
    <r>
      <rPr>
        <sz val="10"/>
        <rFont val="Arial Narrow"/>
        <family val="2"/>
      </rPr>
      <t>107</t>
    </r>
    <r>
      <rPr>
        <sz val="10"/>
        <rFont val="華康粗圓體"/>
        <family val="3"/>
        <charset val="136"/>
      </rPr>
      <t>年底</t>
    </r>
    <phoneticPr fontId="4" type="noConversion"/>
  </si>
  <si>
    <r>
      <rPr>
        <sz val="10"/>
        <rFont val="華康粗圓體"/>
        <family val="3"/>
        <charset val="136"/>
      </rPr>
      <t>民國</t>
    </r>
    <r>
      <rPr>
        <sz val="10"/>
        <rFont val="Arial Narrow"/>
        <family val="2"/>
      </rPr>
      <t xml:space="preserve">107 </t>
    </r>
    <r>
      <rPr>
        <sz val="10"/>
        <rFont val="華康粗圓體"/>
        <family val="3"/>
        <charset val="136"/>
      </rPr>
      <t>年度</t>
    </r>
    <r>
      <rPr>
        <sz val="10"/>
        <rFont val="Arial Narrow"/>
        <family val="2"/>
      </rPr>
      <t xml:space="preserve"> 2018</t>
    </r>
    <phoneticPr fontId="4" type="noConversion"/>
  </si>
  <si>
    <r>
      <rPr>
        <sz val="10"/>
        <rFont val="華康粗圓體"/>
        <family val="3"/>
        <charset val="136"/>
      </rPr>
      <t>民國</t>
    </r>
    <r>
      <rPr>
        <sz val="10"/>
        <rFont val="Arial Narrow"/>
        <family val="2"/>
      </rPr>
      <t>107</t>
    </r>
    <r>
      <rPr>
        <sz val="10"/>
        <rFont val="華康粗圓體"/>
        <family val="3"/>
        <charset val="136"/>
      </rPr>
      <t>年底</t>
    </r>
    <r>
      <rPr>
        <sz val="10"/>
        <rFont val="Arial Narrow"/>
        <family val="2"/>
      </rPr>
      <t xml:space="preserve"> End of 2018</t>
    </r>
    <phoneticPr fontId="6" type="noConversion"/>
  </si>
  <si>
    <r>
      <rPr>
        <sz val="10"/>
        <rFont val="華康粗圓體"/>
        <family val="3"/>
        <charset val="136"/>
      </rPr>
      <t>民國</t>
    </r>
    <r>
      <rPr>
        <sz val="10"/>
        <rFont val="Arial Narrow"/>
        <family val="2"/>
      </rPr>
      <t>107</t>
    </r>
    <r>
      <rPr>
        <sz val="10"/>
        <rFont val="華康粗圓體"/>
        <family val="3"/>
        <charset val="136"/>
      </rPr>
      <t>年</t>
    </r>
    <r>
      <rPr>
        <sz val="10"/>
        <rFont val="Arial Narrow"/>
        <family val="2"/>
      </rPr>
      <t xml:space="preserve">  2018</t>
    </r>
    <phoneticPr fontId="6" type="noConversion"/>
  </si>
  <si>
    <r>
      <rPr>
        <sz val="10"/>
        <rFont val="華康粗圓體"/>
        <family val="3"/>
        <charset val="136"/>
      </rPr>
      <t>民國</t>
    </r>
    <r>
      <rPr>
        <sz val="10"/>
        <rFont val="Arial Narrow"/>
        <family val="2"/>
      </rPr>
      <t>107</t>
    </r>
    <r>
      <rPr>
        <sz val="10"/>
        <rFont val="華康粗圓體"/>
        <family val="3"/>
        <charset val="136"/>
      </rPr>
      <t xml:space="preserve">年
</t>
    </r>
    <r>
      <rPr>
        <sz val="10"/>
        <rFont val="Arial Narrow"/>
        <family val="2"/>
      </rPr>
      <t>2018</t>
    </r>
    <phoneticPr fontId="6" type="noConversion"/>
  </si>
  <si>
    <t>253213</t>
    <phoneticPr fontId="6" type="noConversion"/>
  </si>
  <si>
    <r>
      <rPr>
        <sz val="10"/>
        <color indexed="8"/>
        <rFont val="華康粗圓體"/>
        <family val="3"/>
        <charset val="136"/>
      </rPr>
      <t>民國</t>
    </r>
    <r>
      <rPr>
        <sz val="10"/>
        <color indexed="8"/>
        <rFont val="Arial Narrow"/>
        <family val="2"/>
      </rPr>
      <t>107</t>
    </r>
    <r>
      <rPr>
        <sz val="10"/>
        <color indexed="8"/>
        <rFont val="華康粗圓體"/>
        <family val="3"/>
        <charset val="136"/>
      </rPr>
      <t xml:space="preserve">年
</t>
    </r>
    <r>
      <rPr>
        <sz val="10"/>
        <color indexed="8"/>
        <rFont val="Arial Narrow"/>
        <family val="2"/>
      </rPr>
      <t>2018</t>
    </r>
    <phoneticPr fontId="6" type="noConversion"/>
  </si>
  <si>
    <r>
      <rPr>
        <sz val="10"/>
        <color indexed="8"/>
        <rFont val="華康粗圓體"/>
        <family val="3"/>
        <charset val="136"/>
      </rPr>
      <t>民國</t>
    </r>
    <r>
      <rPr>
        <sz val="10"/>
        <color indexed="8"/>
        <rFont val="Arial Narrow"/>
        <family val="2"/>
      </rPr>
      <t>107</t>
    </r>
    <r>
      <rPr>
        <sz val="10"/>
        <color indexed="8"/>
        <rFont val="華康粗圓體"/>
        <family val="3"/>
        <charset val="136"/>
      </rPr>
      <t xml:space="preserve">年
</t>
    </r>
    <r>
      <rPr>
        <sz val="10"/>
        <color indexed="8"/>
        <rFont val="Arial Narrow"/>
        <family val="2"/>
      </rPr>
      <t>2018</t>
    </r>
    <phoneticPr fontId="4" type="noConversion"/>
  </si>
  <si>
    <r>
      <rPr>
        <sz val="10"/>
        <rFont val="華康粗圓體"/>
        <family val="3"/>
        <charset val="136"/>
      </rPr>
      <t>說　　明：</t>
    </r>
    <r>
      <rPr>
        <sz val="10"/>
        <rFont val="Arial Narrow"/>
        <family val="2"/>
      </rPr>
      <t>1.103</t>
    </r>
    <r>
      <rPr>
        <sz val="10"/>
        <rFont val="華康粗圓體"/>
        <family val="3"/>
        <charset val="136"/>
      </rPr>
      <t>年第</t>
    </r>
    <r>
      <rPr>
        <sz val="10"/>
        <rFont val="Arial Narrow"/>
        <family val="2"/>
      </rPr>
      <t>2</t>
    </r>
    <r>
      <rPr>
        <sz val="10"/>
        <rFont val="華康粗圓體"/>
        <family val="3"/>
        <charset val="136"/>
      </rPr>
      <t>季起始有原住民族急難救助相關統計。</t>
    </r>
    <phoneticPr fontId="6" type="noConversion"/>
  </si>
  <si>
    <r>
      <rPr>
        <sz val="10"/>
        <color indexed="9"/>
        <rFont val="華康粗圓體"/>
        <family val="3"/>
        <charset val="136"/>
      </rPr>
      <t>說　　明：</t>
    </r>
    <r>
      <rPr>
        <sz val="10"/>
        <rFont val="Arial Narrow"/>
        <family val="2"/>
      </rPr>
      <t>2.106</t>
    </r>
    <r>
      <rPr>
        <sz val="10"/>
        <rFont val="華康粗圓體"/>
        <family val="3"/>
        <charset val="136"/>
      </rPr>
      <t>年度起本表納入本府原住民族行政局之原住民族急難救助相關資料，且不列入總計。</t>
    </r>
    <phoneticPr fontId="6" type="noConversion"/>
  </si>
  <si>
    <t>Note : 1.Indigenous emergency were included in the statistics since seccond quarter 2014.</t>
    <phoneticPr fontId="6" type="noConversion"/>
  </si>
  <si>
    <r>
      <rPr>
        <sz val="10"/>
        <rFont val="華康粗圓體"/>
        <family val="3"/>
        <charset val="136"/>
      </rPr>
      <t>民國</t>
    </r>
    <r>
      <rPr>
        <sz val="10"/>
        <rFont val="Arial Narrow"/>
        <family val="2"/>
      </rPr>
      <t>107</t>
    </r>
    <r>
      <rPr>
        <sz val="10"/>
        <rFont val="華康粗圓體"/>
        <family val="3"/>
        <charset val="136"/>
      </rPr>
      <t xml:space="preserve">年
</t>
    </r>
    <r>
      <rPr>
        <sz val="10"/>
        <rFont val="Arial Narrow"/>
        <family val="2"/>
      </rPr>
      <t>2018</t>
    </r>
    <phoneticPr fontId="4" type="noConversion"/>
  </si>
  <si>
    <r>
      <rPr>
        <sz val="10"/>
        <rFont val="華康粗圓體"/>
        <family val="3"/>
        <charset val="136"/>
      </rPr>
      <t>民國</t>
    </r>
    <r>
      <rPr>
        <sz val="10"/>
        <rFont val="Arial Narrow"/>
        <family val="2"/>
      </rPr>
      <t>107</t>
    </r>
    <r>
      <rPr>
        <sz val="10"/>
        <rFont val="華康粗圓體"/>
        <family val="3"/>
        <charset val="136"/>
      </rPr>
      <t>年</t>
    </r>
    <r>
      <rPr>
        <sz val="10"/>
        <rFont val="Arial Narrow"/>
        <family val="2"/>
      </rPr>
      <t xml:space="preserve"> 2018</t>
    </r>
    <phoneticPr fontId="6" type="noConversion"/>
  </si>
  <si>
    <r>
      <rPr>
        <sz val="10"/>
        <rFont val="華康粗圓體"/>
        <family val="3"/>
        <charset val="136"/>
      </rPr>
      <t>民國</t>
    </r>
    <r>
      <rPr>
        <sz val="10"/>
        <rFont val="Arial Narrow"/>
        <family val="2"/>
      </rPr>
      <t>107</t>
    </r>
    <r>
      <rPr>
        <sz val="10"/>
        <rFont val="華康粗圓體"/>
        <family val="3"/>
        <charset val="136"/>
      </rPr>
      <t>年底</t>
    </r>
    <r>
      <rPr>
        <sz val="10"/>
        <rFont val="Arial Narrow"/>
        <family val="2"/>
      </rPr>
      <t xml:space="preserve"> End of 2018</t>
    </r>
    <phoneticPr fontId="4" type="noConversion"/>
  </si>
  <si>
    <r>
      <t xml:space="preserve">    </t>
    </r>
    <r>
      <rPr>
        <sz val="10"/>
        <rFont val="華康粗圓體"/>
        <family val="3"/>
        <charset val="136"/>
      </rPr>
      <t>接受本府社會局委託服務單位</t>
    </r>
    <r>
      <rPr>
        <sz val="10"/>
        <rFont val="Arial Narrow"/>
        <family val="2"/>
      </rPr>
      <t xml:space="preserve">  </t>
    </r>
    <phoneticPr fontId="4" type="noConversion"/>
  </si>
  <si>
    <r>
      <rPr>
        <sz val="10"/>
        <rFont val="華康粗圓體"/>
        <family val="3"/>
        <charset val="136"/>
      </rPr>
      <t>民國</t>
    </r>
    <r>
      <rPr>
        <sz val="10"/>
        <rFont val="Arial Narrow"/>
        <family val="2"/>
      </rPr>
      <t>107</t>
    </r>
    <r>
      <rPr>
        <sz val="10"/>
        <rFont val="華康粗圓體"/>
        <family val="3"/>
        <charset val="136"/>
      </rPr>
      <t>年底</t>
    </r>
    <phoneticPr fontId="6" type="noConversion"/>
  </si>
  <si>
    <t>End of 2018</t>
    <phoneticPr fontId="6" type="noConversion"/>
  </si>
  <si>
    <r>
      <rPr>
        <sz val="10"/>
        <rFont val="華康粗圓體"/>
        <family val="3"/>
        <charset val="136"/>
      </rPr>
      <t>民國</t>
    </r>
    <r>
      <rPr>
        <sz val="10"/>
        <rFont val="Arial Narrow"/>
        <family val="2"/>
      </rPr>
      <t>107</t>
    </r>
    <r>
      <rPr>
        <sz val="10"/>
        <rFont val="華康粗圓體"/>
        <family val="3"/>
        <charset val="136"/>
      </rPr>
      <t xml:space="preserve">年底
</t>
    </r>
    <r>
      <rPr>
        <sz val="10"/>
        <rFont val="Arial Narrow"/>
        <family val="2"/>
      </rPr>
      <t>End of 2018</t>
    </r>
    <phoneticPr fontId="6" type="noConversion"/>
  </si>
  <si>
    <r>
      <rPr>
        <sz val="9"/>
        <rFont val="華康粗圓體"/>
        <family val="3"/>
        <charset val="136"/>
      </rPr>
      <t>民國</t>
    </r>
    <r>
      <rPr>
        <sz val="9"/>
        <rFont val="Arial Narrow"/>
        <family val="2"/>
      </rPr>
      <t>107</t>
    </r>
    <r>
      <rPr>
        <sz val="9"/>
        <rFont val="華康粗圓體"/>
        <family val="3"/>
        <charset val="136"/>
      </rPr>
      <t xml:space="preserve">年
</t>
    </r>
    <r>
      <rPr>
        <sz val="9"/>
        <rFont val="Arial Narrow"/>
        <family val="2"/>
      </rPr>
      <t>2018</t>
    </r>
    <phoneticPr fontId="6" type="noConversion"/>
  </si>
  <si>
    <r>
      <rPr>
        <sz val="10"/>
        <rFont val="華康粗圓體"/>
        <family val="3"/>
        <charset val="136"/>
      </rPr>
      <t>民國</t>
    </r>
    <r>
      <rPr>
        <sz val="10"/>
        <rFont val="Arial Narrow"/>
        <family val="2"/>
      </rPr>
      <t>107</t>
    </r>
    <r>
      <rPr>
        <sz val="10"/>
        <rFont val="華康粗圓體"/>
        <family val="3"/>
        <charset val="136"/>
      </rPr>
      <t xml:space="preserve">年底
</t>
    </r>
    <r>
      <rPr>
        <sz val="10"/>
        <rFont val="Arial Narrow"/>
        <family val="2"/>
      </rPr>
      <t>End of 2018</t>
    </r>
    <phoneticPr fontId="4" type="noConversion"/>
  </si>
  <si>
    <r>
      <rPr>
        <sz val="10"/>
        <rFont val="華康粗圓體"/>
        <family val="3"/>
        <charset val="136"/>
      </rPr>
      <t>民國</t>
    </r>
    <r>
      <rPr>
        <sz val="10"/>
        <rFont val="Arial Narrow"/>
        <family val="2"/>
      </rPr>
      <t>102</t>
    </r>
    <r>
      <rPr>
        <sz val="10"/>
        <rFont val="華康粗圓體"/>
        <family val="3"/>
        <charset val="136"/>
      </rPr>
      <t>年底</t>
    </r>
    <r>
      <rPr>
        <sz val="10"/>
        <rFont val="Arial Narrow"/>
        <family val="2"/>
      </rPr>
      <t xml:space="preserve"> End of 2013</t>
    </r>
    <phoneticPr fontId="6" type="noConversion"/>
  </si>
  <si>
    <r>
      <rPr>
        <sz val="10"/>
        <rFont val="華康粗圓體"/>
        <family val="3"/>
        <charset val="136"/>
      </rPr>
      <t>民國</t>
    </r>
    <r>
      <rPr>
        <sz val="10"/>
        <rFont val="Arial Narrow"/>
        <family val="2"/>
      </rPr>
      <t>106</t>
    </r>
    <r>
      <rPr>
        <sz val="10"/>
        <rFont val="華康粗圓體"/>
        <family val="3"/>
        <charset val="136"/>
      </rPr>
      <t>年底</t>
    </r>
    <r>
      <rPr>
        <sz val="10"/>
        <rFont val="Arial Narrow"/>
        <family val="2"/>
      </rPr>
      <t xml:space="preserve"> End of 2017</t>
    </r>
    <phoneticPr fontId="6" type="noConversion"/>
  </si>
  <si>
    <r>
      <rPr>
        <sz val="10"/>
        <rFont val="華康粗圓體"/>
        <family val="3"/>
        <charset val="136"/>
      </rPr>
      <t>民國</t>
    </r>
    <r>
      <rPr>
        <sz val="10"/>
        <rFont val="Arial Narrow"/>
        <family val="2"/>
      </rPr>
      <t>104</t>
    </r>
    <r>
      <rPr>
        <sz val="10"/>
        <rFont val="華康粗圓體"/>
        <family val="3"/>
        <charset val="136"/>
      </rPr>
      <t>年底</t>
    </r>
    <r>
      <rPr>
        <sz val="10"/>
        <rFont val="Arial Narrow"/>
        <family val="2"/>
      </rPr>
      <t xml:space="preserve"> End of 2015</t>
    </r>
    <phoneticPr fontId="6" type="noConversion"/>
  </si>
  <si>
    <r>
      <rPr>
        <sz val="10"/>
        <rFont val="華康粗圓體"/>
        <family val="3"/>
        <charset val="136"/>
      </rPr>
      <t>民國</t>
    </r>
    <r>
      <rPr>
        <sz val="10"/>
        <rFont val="Arial Narrow"/>
        <family val="2"/>
      </rPr>
      <t>98</t>
    </r>
    <r>
      <rPr>
        <sz val="10"/>
        <rFont val="華康粗圓體"/>
        <family val="3"/>
        <charset val="136"/>
      </rPr>
      <t>年</t>
    </r>
    <r>
      <rPr>
        <sz val="10"/>
        <rFont val="Arial Narrow"/>
        <family val="2"/>
      </rPr>
      <t xml:space="preserve">  2009</t>
    </r>
    <phoneticPr fontId="6" type="noConversion"/>
  </si>
  <si>
    <r>
      <rPr>
        <sz val="10"/>
        <rFont val="華康粗圓體"/>
        <family val="3"/>
        <charset val="136"/>
      </rPr>
      <t>民國</t>
    </r>
    <r>
      <rPr>
        <sz val="10"/>
        <rFont val="Arial Narrow"/>
        <family val="2"/>
      </rPr>
      <t>99</t>
    </r>
    <r>
      <rPr>
        <sz val="10"/>
        <rFont val="華康粗圓體"/>
        <family val="3"/>
        <charset val="136"/>
      </rPr>
      <t>年</t>
    </r>
    <r>
      <rPr>
        <sz val="10"/>
        <rFont val="Arial Narrow"/>
        <family val="2"/>
      </rPr>
      <t xml:space="preserve">  2010</t>
    </r>
    <phoneticPr fontId="6" type="noConversion"/>
  </si>
  <si>
    <r>
      <rPr>
        <sz val="10"/>
        <rFont val="華康粗圓體"/>
        <family val="3"/>
        <charset val="136"/>
      </rPr>
      <t>民國</t>
    </r>
    <r>
      <rPr>
        <sz val="10"/>
        <rFont val="Arial Narrow"/>
        <family val="2"/>
      </rPr>
      <t>100</t>
    </r>
    <r>
      <rPr>
        <sz val="10"/>
        <rFont val="華康粗圓體"/>
        <family val="3"/>
        <charset val="136"/>
      </rPr>
      <t>年</t>
    </r>
    <r>
      <rPr>
        <sz val="10"/>
        <rFont val="Arial Narrow"/>
        <family val="2"/>
      </rPr>
      <t xml:space="preserve">  2011</t>
    </r>
    <phoneticPr fontId="6" type="noConversion"/>
  </si>
  <si>
    <r>
      <rPr>
        <sz val="10"/>
        <rFont val="華康粗圓體"/>
        <family val="3"/>
        <charset val="136"/>
      </rPr>
      <t>民國</t>
    </r>
    <r>
      <rPr>
        <sz val="10"/>
        <rFont val="Arial Narrow"/>
        <family val="2"/>
      </rPr>
      <t>101</t>
    </r>
    <r>
      <rPr>
        <sz val="10"/>
        <rFont val="華康粗圓體"/>
        <family val="3"/>
        <charset val="136"/>
      </rPr>
      <t>年</t>
    </r>
    <r>
      <rPr>
        <sz val="10"/>
        <rFont val="Arial Narrow"/>
        <family val="2"/>
      </rPr>
      <t xml:space="preserve">  2012</t>
    </r>
    <phoneticPr fontId="6" type="noConversion"/>
  </si>
  <si>
    <r>
      <rPr>
        <sz val="10"/>
        <rFont val="華康粗圓體"/>
        <family val="3"/>
        <charset val="136"/>
      </rPr>
      <t>民國</t>
    </r>
    <r>
      <rPr>
        <sz val="10"/>
        <rFont val="Arial Narrow"/>
        <family val="2"/>
      </rPr>
      <t>102</t>
    </r>
    <r>
      <rPr>
        <sz val="10"/>
        <rFont val="華康粗圓體"/>
        <family val="3"/>
        <charset val="136"/>
      </rPr>
      <t>年</t>
    </r>
    <r>
      <rPr>
        <sz val="10"/>
        <rFont val="Arial Narrow"/>
        <family val="2"/>
      </rPr>
      <t xml:space="preserve">  2013</t>
    </r>
    <phoneticPr fontId="6" type="noConversion"/>
  </si>
  <si>
    <r>
      <rPr>
        <sz val="10"/>
        <rFont val="華康粗圓體"/>
        <family val="3"/>
        <charset val="136"/>
      </rPr>
      <t>民國</t>
    </r>
    <r>
      <rPr>
        <sz val="10"/>
        <rFont val="Arial Narrow"/>
        <family val="2"/>
      </rPr>
      <t>103</t>
    </r>
    <r>
      <rPr>
        <sz val="10"/>
        <rFont val="華康粗圓體"/>
        <family val="3"/>
        <charset val="136"/>
      </rPr>
      <t>年</t>
    </r>
    <r>
      <rPr>
        <sz val="10"/>
        <rFont val="Arial Narrow"/>
        <family val="2"/>
      </rPr>
      <t xml:space="preserve">  2014</t>
    </r>
    <phoneticPr fontId="6" type="noConversion"/>
  </si>
  <si>
    <r>
      <rPr>
        <sz val="10"/>
        <rFont val="華康粗圓體"/>
        <family val="3"/>
        <charset val="136"/>
      </rPr>
      <t>民國</t>
    </r>
    <r>
      <rPr>
        <sz val="10"/>
        <rFont val="Arial Narrow"/>
        <family val="2"/>
      </rPr>
      <t>104</t>
    </r>
    <r>
      <rPr>
        <sz val="10"/>
        <rFont val="華康粗圓體"/>
        <family val="3"/>
        <charset val="136"/>
      </rPr>
      <t>年</t>
    </r>
    <r>
      <rPr>
        <sz val="10"/>
        <rFont val="Arial Narrow"/>
        <family val="2"/>
      </rPr>
      <t xml:space="preserve">  2015</t>
    </r>
    <phoneticPr fontId="6" type="noConversion"/>
  </si>
  <si>
    <r>
      <rPr>
        <sz val="10"/>
        <rFont val="華康粗圓體"/>
        <family val="3"/>
        <charset val="136"/>
      </rPr>
      <t>民國</t>
    </r>
    <r>
      <rPr>
        <sz val="10"/>
        <rFont val="Arial Narrow"/>
        <family val="2"/>
      </rPr>
      <t>105</t>
    </r>
    <r>
      <rPr>
        <sz val="10"/>
        <rFont val="華康粗圓體"/>
        <family val="3"/>
        <charset val="136"/>
      </rPr>
      <t>年</t>
    </r>
    <r>
      <rPr>
        <sz val="10"/>
        <rFont val="Arial Narrow"/>
        <family val="2"/>
      </rPr>
      <t xml:space="preserve">  2016</t>
    </r>
    <phoneticPr fontId="6" type="noConversion"/>
  </si>
  <si>
    <r>
      <rPr>
        <sz val="10"/>
        <rFont val="華康粗圓體"/>
        <family val="3"/>
        <charset val="136"/>
      </rPr>
      <t>民國</t>
    </r>
    <r>
      <rPr>
        <sz val="10"/>
        <rFont val="Arial Narrow"/>
        <family val="2"/>
      </rPr>
      <t>106</t>
    </r>
    <r>
      <rPr>
        <sz val="10"/>
        <rFont val="華康粗圓體"/>
        <family val="3"/>
        <charset val="136"/>
      </rPr>
      <t>年</t>
    </r>
    <r>
      <rPr>
        <sz val="10"/>
        <rFont val="Arial Narrow"/>
        <family val="2"/>
      </rPr>
      <t xml:space="preserve">  2017</t>
    </r>
    <phoneticPr fontId="6" type="noConversion"/>
  </si>
  <si>
    <r>
      <rPr>
        <sz val="10"/>
        <color indexed="8"/>
        <rFont val="華康粗圓體"/>
        <family val="3"/>
        <charset val="136"/>
      </rPr>
      <t>民國</t>
    </r>
    <r>
      <rPr>
        <sz val="10"/>
        <color indexed="8"/>
        <rFont val="Arial Narrow"/>
        <family val="2"/>
      </rPr>
      <t>101</t>
    </r>
    <r>
      <rPr>
        <sz val="10"/>
        <color indexed="8"/>
        <rFont val="華康粗圓體"/>
        <family val="3"/>
        <charset val="136"/>
      </rPr>
      <t xml:space="preserve">年
</t>
    </r>
    <r>
      <rPr>
        <sz val="10"/>
        <color indexed="8"/>
        <rFont val="Arial Narrow"/>
        <family val="2"/>
      </rPr>
      <t>2012</t>
    </r>
    <phoneticPr fontId="6" type="noConversion"/>
  </si>
  <si>
    <r>
      <rPr>
        <sz val="10"/>
        <color theme="0"/>
        <rFont val="Arial Narrow"/>
        <family val="2"/>
      </rPr>
      <t>Note :</t>
    </r>
    <r>
      <rPr>
        <sz val="10"/>
        <rFont val="Arial Narrow"/>
        <family val="2"/>
      </rPr>
      <t xml:space="preserve"> 2.Data of Department of Indigenous Affairs's indigenous emergency rescue were included in the form since 2017, </t>
    </r>
    <phoneticPr fontId="6" type="noConversion"/>
  </si>
  <si>
    <t>Agricultural Labor C.S.</t>
    <phoneticPr fontId="6" type="noConversion"/>
  </si>
  <si>
    <t>Agricultural Supply C.S.</t>
    <phoneticPr fontId="6" type="noConversion"/>
  </si>
  <si>
    <t>Elderly Residential Settling,Elderly Housing, End of Year</t>
    <phoneticPr fontId="6" type="noConversion"/>
  </si>
  <si>
    <r>
      <rPr>
        <sz val="10"/>
        <rFont val="華康粗圓體"/>
        <family val="3"/>
        <charset val="136"/>
      </rPr>
      <t>說　　明：</t>
    </r>
    <r>
      <rPr>
        <sz val="10"/>
        <rFont val="Arial Narrow"/>
        <family val="2"/>
      </rPr>
      <t>101</t>
    </r>
    <r>
      <rPr>
        <sz val="10"/>
        <rFont val="華康粗圓體"/>
        <family val="3"/>
        <charset val="136"/>
      </rPr>
      <t>年</t>
    </r>
    <r>
      <rPr>
        <sz val="10"/>
        <rFont val="Arial Narrow"/>
        <family val="2"/>
      </rPr>
      <t>6</t>
    </r>
    <r>
      <rPr>
        <sz val="10"/>
        <rFont val="華康粗圓體"/>
        <family val="3"/>
        <charset val="136"/>
      </rPr>
      <t>月</t>
    </r>
    <r>
      <rPr>
        <sz val="10"/>
        <rFont val="Arial Narrow"/>
        <family val="2"/>
      </rPr>
      <t>11</t>
    </r>
    <r>
      <rPr>
        <sz val="10"/>
        <rFont val="華康粗圓體"/>
        <family val="3"/>
        <charset val="136"/>
      </rPr>
      <t>日水災災損嚴重。</t>
    </r>
    <phoneticPr fontId="4" type="noConversion"/>
  </si>
  <si>
    <r>
      <rPr>
        <sz val="10"/>
        <rFont val="華康粗圓體"/>
        <family val="3"/>
        <charset val="136"/>
      </rPr>
      <t>民國</t>
    </r>
    <r>
      <rPr>
        <sz val="10"/>
        <rFont val="Arial Narrow"/>
        <family val="2"/>
      </rPr>
      <t>101</t>
    </r>
    <r>
      <rPr>
        <sz val="10"/>
        <rFont val="華康粗圓體"/>
        <family val="3"/>
        <charset val="136"/>
      </rPr>
      <t>年底</t>
    </r>
  </si>
  <si>
    <r>
      <rPr>
        <sz val="10"/>
        <rFont val="華康粗圓體"/>
        <family val="3"/>
        <charset val="136"/>
      </rPr>
      <t>民國</t>
    </r>
    <r>
      <rPr>
        <sz val="10"/>
        <rFont val="Arial Narrow"/>
        <family val="2"/>
      </rPr>
      <t>102</t>
    </r>
    <r>
      <rPr>
        <sz val="10"/>
        <rFont val="華康粗圓體"/>
        <family val="3"/>
        <charset val="136"/>
      </rPr>
      <t>年底</t>
    </r>
  </si>
  <si>
    <r>
      <rPr>
        <sz val="10"/>
        <rFont val="華康粗圓體"/>
        <family val="3"/>
        <charset val="136"/>
      </rPr>
      <t>民國</t>
    </r>
    <r>
      <rPr>
        <sz val="10"/>
        <rFont val="Arial Narrow"/>
        <family val="2"/>
      </rPr>
      <t>103</t>
    </r>
    <r>
      <rPr>
        <sz val="10"/>
        <rFont val="華康粗圓體"/>
        <family val="3"/>
        <charset val="136"/>
      </rPr>
      <t>年底</t>
    </r>
  </si>
  <si>
    <r>
      <rPr>
        <sz val="10"/>
        <rFont val="華康粗圓體"/>
        <family val="3"/>
        <charset val="136"/>
      </rPr>
      <t>民國</t>
    </r>
    <r>
      <rPr>
        <sz val="10"/>
        <rFont val="Arial Narrow"/>
        <family val="2"/>
      </rPr>
      <t>104</t>
    </r>
    <r>
      <rPr>
        <sz val="10"/>
        <rFont val="華康粗圓體"/>
        <family val="3"/>
        <charset val="136"/>
      </rPr>
      <t>年底</t>
    </r>
  </si>
  <si>
    <r>
      <rPr>
        <sz val="10"/>
        <rFont val="華康粗圓體"/>
        <family val="3"/>
        <charset val="136"/>
      </rPr>
      <t>民國</t>
    </r>
    <r>
      <rPr>
        <sz val="10"/>
        <rFont val="Arial Narrow"/>
        <family val="2"/>
      </rPr>
      <t>105</t>
    </r>
    <r>
      <rPr>
        <sz val="10"/>
        <rFont val="華康粗圓體"/>
        <family val="3"/>
        <charset val="136"/>
      </rPr>
      <t>年底</t>
    </r>
  </si>
  <si>
    <r>
      <rPr>
        <sz val="10"/>
        <rFont val="華康粗圓體"/>
        <family val="3"/>
        <charset val="136"/>
      </rPr>
      <t>民國</t>
    </r>
    <r>
      <rPr>
        <sz val="10"/>
        <rFont val="Arial Narrow"/>
        <family val="2"/>
      </rPr>
      <t>106</t>
    </r>
    <r>
      <rPr>
        <sz val="10"/>
        <rFont val="華康粗圓體"/>
        <family val="3"/>
        <charset val="136"/>
      </rPr>
      <t>年底</t>
    </r>
  </si>
  <si>
    <r>
      <rPr>
        <sz val="10"/>
        <rFont val="華康粗圓體"/>
        <family val="3"/>
        <charset val="136"/>
      </rPr>
      <t>民國</t>
    </r>
    <r>
      <rPr>
        <sz val="10"/>
        <rFont val="Arial Narrow"/>
        <family val="2"/>
      </rPr>
      <t xml:space="preserve">98 </t>
    </r>
    <r>
      <rPr>
        <sz val="10"/>
        <rFont val="華康粗圓體"/>
        <family val="3"/>
        <charset val="136"/>
      </rPr>
      <t>年度</t>
    </r>
    <r>
      <rPr>
        <sz val="10"/>
        <rFont val="Arial Narrow"/>
        <family val="2"/>
      </rPr>
      <t xml:space="preserve"> 2009</t>
    </r>
  </si>
  <si>
    <r>
      <rPr>
        <sz val="10"/>
        <rFont val="華康粗圓體"/>
        <family val="3"/>
        <charset val="136"/>
      </rPr>
      <t>民國</t>
    </r>
    <r>
      <rPr>
        <sz val="10"/>
        <rFont val="Arial Narrow"/>
        <family val="2"/>
      </rPr>
      <t xml:space="preserve">99 </t>
    </r>
    <r>
      <rPr>
        <sz val="10"/>
        <rFont val="華康粗圓體"/>
        <family val="3"/>
        <charset val="136"/>
      </rPr>
      <t>年度</t>
    </r>
    <r>
      <rPr>
        <sz val="10"/>
        <rFont val="Arial Narrow"/>
        <family val="2"/>
      </rPr>
      <t xml:space="preserve"> 2010</t>
    </r>
  </si>
  <si>
    <r>
      <rPr>
        <sz val="10"/>
        <rFont val="華康粗圓體"/>
        <family val="3"/>
        <charset val="136"/>
      </rPr>
      <t>民國</t>
    </r>
    <r>
      <rPr>
        <sz val="10"/>
        <rFont val="Arial Narrow"/>
        <family val="2"/>
      </rPr>
      <t>100</t>
    </r>
    <r>
      <rPr>
        <sz val="10"/>
        <rFont val="華康粗圓體"/>
        <family val="3"/>
        <charset val="136"/>
      </rPr>
      <t>年度</t>
    </r>
    <r>
      <rPr>
        <sz val="10"/>
        <rFont val="Arial Narrow"/>
        <family val="2"/>
      </rPr>
      <t xml:space="preserve"> 2011</t>
    </r>
  </si>
  <si>
    <r>
      <rPr>
        <sz val="10"/>
        <rFont val="華康粗圓體"/>
        <family val="3"/>
        <charset val="136"/>
      </rPr>
      <t>民國</t>
    </r>
    <r>
      <rPr>
        <sz val="10"/>
        <rFont val="Arial Narrow"/>
        <family val="2"/>
      </rPr>
      <t>101</t>
    </r>
    <r>
      <rPr>
        <sz val="10"/>
        <rFont val="華康粗圓體"/>
        <family val="3"/>
        <charset val="136"/>
      </rPr>
      <t>年度</t>
    </r>
    <r>
      <rPr>
        <sz val="10"/>
        <rFont val="Arial Narrow"/>
        <family val="2"/>
      </rPr>
      <t xml:space="preserve"> 2012</t>
    </r>
  </si>
  <si>
    <r>
      <rPr>
        <sz val="10"/>
        <rFont val="華康粗圓體"/>
        <family val="3"/>
        <charset val="136"/>
      </rPr>
      <t>民國</t>
    </r>
    <r>
      <rPr>
        <sz val="10"/>
        <rFont val="Arial Narrow"/>
        <family val="2"/>
      </rPr>
      <t>102</t>
    </r>
    <r>
      <rPr>
        <sz val="10"/>
        <rFont val="華康粗圓體"/>
        <family val="3"/>
        <charset val="136"/>
      </rPr>
      <t>年度</t>
    </r>
    <r>
      <rPr>
        <sz val="10"/>
        <rFont val="Arial Narrow"/>
        <family val="2"/>
      </rPr>
      <t xml:space="preserve"> 2013</t>
    </r>
  </si>
  <si>
    <r>
      <rPr>
        <sz val="10"/>
        <rFont val="華康粗圓體"/>
        <family val="3"/>
        <charset val="136"/>
      </rPr>
      <t>民國</t>
    </r>
    <r>
      <rPr>
        <sz val="10"/>
        <rFont val="Arial Narrow"/>
        <family val="2"/>
      </rPr>
      <t>103</t>
    </r>
    <r>
      <rPr>
        <sz val="10"/>
        <rFont val="華康粗圓體"/>
        <family val="3"/>
        <charset val="136"/>
      </rPr>
      <t>年度</t>
    </r>
    <r>
      <rPr>
        <sz val="10"/>
        <rFont val="Arial Narrow"/>
        <family val="2"/>
      </rPr>
      <t xml:space="preserve"> 2014</t>
    </r>
  </si>
  <si>
    <r>
      <rPr>
        <sz val="10"/>
        <rFont val="華康粗圓體"/>
        <family val="3"/>
        <charset val="136"/>
      </rPr>
      <t>民國</t>
    </r>
    <r>
      <rPr>
        <sz val="10"/>
        <rFont val="Arial Narrow"/>
        <family val="2"/>
      </rPr>
      <t xml:space="preserve">104 </t>
    </r>
    <r>
      <rPr>
        <sz val="10"/>
        <rFont val="華康粗圓體"/>
        <family val="3"/>
        <charset val="136"/>
      </rPr>
      <t>年度</t>
    </r>
    <r>
      <rPr>
        <sz val="10"/>
        <rFont val="Arial Narrow"/>
        <family val="2"/>
      </rPr>
      <t xml:space="preserve"> 2015</t>
    </r>
  </si>
  <si>
    <r>
      <rPr>
        <sz val="10"/>
        <rFont val="華康粗圓體"/>
        <family val="3"/>
        <charset val="136"/>
      </rPr>
      <t>民國</t>
    </r>
    <r>
      <rPr>
        <sz val="10"/>
        <rFont val="Arial Narrow"/>
        <family val="2"/>
      </rPr>
      <t xml:space="preserve">105 </t>
    </r>
    <r>
      <rPr>
        <sz val="10"/>
        <rFont val="華康粗圓體"/>
        <family val="3"/>
        <charset val="136"/>
      </rPr>
      <t>年度</t>
    </r>
    <r>
      <rPr>
        <sz val="10"/>
        <rFont val="Arial Narrow"/>
        <family val="2"/>
      </rPr>
      <t xml:space="preserve"> 2016</t>
    </r>
  </si>
  <si>
    <r>
      <rPr>
        <sz val="10"/>
        <rFont val="華康粗圓體"/>
        <family val="3"/>
        <charset val="136"/>
      </rPr>
      <t>民國</t>
    </r>
    <r>
      <rPr>
        <sz val="10"/>
        <rFont val="Arial Narrow"/>
        <family val="2"/>
      </rPr>
      <t xml:space="preserve">106 </t>
    </r>
    <r>
      <rPr>
        <sz val="10"/>
        <rFont val="華康粗圓體"/>
        <family val="3"/>
        <charset val="136"/>
      </rPr>
      <t>年度</t>
    </r>
    <r>
      <rPr>
        <sz val="10"/>
        <rFont val="Arial Narrow"/>
        <family val="2"/>
      </rPr>
      <t xml:space="preserve"> 2017</t>
    </r>
  </si>
  <si>
    <r>
      <rPr>
        <sz val="10"/>
        <rFont val="Segoe UI Symbol"/>
        <family val="3"/>
      </rPr>
      <t>ⓡ</t>
    </r>
    <r>
      <rPr>
        <sz val="10"/>
        <rFont val="Arial Narrow"/>
        <family val="2"/>
      </rPr>
      <t>466</t>
    </r>
    <phoneticPr fontId="6" type="noConversion"/>
  </si>
  <si>
    <r>
      <rPr>
        <sz val="10"/>
        <rFont val="Segoe UI Symbol"/>
        <family val="2"/>
      </rPr>
      <t>ⓡ</t>
    </r>
    <r>
      <rPr>
        <sz val="10"/>
        <rFont val="Arial Narrow"/>
        <family val="2"/>
      </rPr>
      <t>58</t>
    </r>
    <phoneticPr fontId="6" type="noConversion"/>
  </si>
  <si>
    <t>Note : Since 2016, Elderly Residentail Settling renamed Elderly Residential Settling,Elderly Housing.</t>
    <phoneticPr fontId="6" type="noConversion"/>
  </si>
  <si>
    <t xml:space="preserve">Note : 1.Since 2013 ,the data of counselling of law and consulting assistance include the data from Department of Legal Affairs, </t>
    <phoneticPr fontId="6" type="noConversion"/>
  </si>
  <si>
    <t xml:space="preserve">          2.Since 2014, the number of institutions of welfare service centers includes family service centers of each district. </t>
    <phoneticPr fontId="6" type="noConversion"/>
  </si>
  <si>
    <t xml:space="preserve">          3.Since 2016, Foreign Spouse Family renamed New Resident Family.</t>
    <phoneticPr fontId="6" type="noConversion"/>
  </si>
  <si>
    <t>Note : The number of beneficiary-times of each assistance (subsidies) on disadvantaged children and youths are counted by</t>
    <phoneticPr fontId="6" type="noConversion"/>
  </si>
  <si>
    <t xml:space="preserve">           summing the number of each person multipling by subsidized months up.</t>
    <phoneticPr fontId="6" type="noConversion"/>
  </si>
  <si>
    <t xml:space="preserve">           allowance are counted by summing the number of each person multipling by subsidized months up.</t>
    <phoneticPr fontId="6" type="noConversion"/>
  </si>
  <si>
    <r>
      <rPr>
        <sz val="9"/>
        <rFont val="Segoe UI Symbol"/>
        <family val="3"/>
      </rPr>
      <t>ⓡ</t>
    </r>
    <r>
      <rPr>
        <sz val="9"/>
        <rFont val="Arial Narrow"/>
        <family val="2"/>
      </rPr>
      <t>3,897</t>
    </r>
    <phoneticPr fontId="6" type="noConversion"/>
  </si>
  <si>
    <r>
      <rPr>
        <sz val="9"/>
        <rFont val="Segoe UI Symbol"/>
        <family val="3"/>
      </rPr>
      <t>ⓡ</t>
    </r>
    <r>
      <rPr>
        <sz val="9"/>
        <rFont val="Arial Narrow"/>
        <family val="2"/>
      </rPr>
      <t>307,540</t>
    </r>
    <phoneticPr fontId="6" type="noConversion"/>
  </si>
  <si>
    <t xml:space="preserve">          5.In 2018, the no. of times in others was counted once when an individual consulting is completed.</t>
    <phoneticPr fontId="6" type="noConversion"/>
  </si>
  <si>
    <r>
      <rPr>
        <sz val="9"/>
        <color theme="0"/>
        <rFont val="華康粗圓體"/>
        <family val="3"/>
        <charset val="136"/>
      </rPr>
      <t>說　　明：</t>
    </r>
    <r>
      <rPr>
        <sz val="9"/>
        <rFont val="Arial Narrow"/>
        <family val="2"/>
      </rPr>
      <t>5.107</t>
    </r>
    <r>
      <rPr>
        <sz val="9"/>
        <rFont val="華康粗圓體"/>
        <family val="3"/>
        <charset val="136"/>
      </rPr>
      <t>年其他中之諮詢服務改以每一場個別諮詢計為一次辦理次數。</t>
    </r>
    <phoneticPr fontId="6" type="noConversion"/>
  </si>
  <si>
    <r>
      <rPr>
        <sz val="10"/>
        <rFont val="華康粗圓體"/>
        <family val="3"/>
        <charset val="136"/>
      </rPr>
      <t>產婦及嬰兒
營養補助</t>
    </r>
    <phoneticPr fontId="6" type="noConversion"/>
  </si>
  <si>
    <r>
      <rPr>
        <sz val="10"/>
        <rFont val="華康粗圓體"/>
        <family val="3"/>
        <charset val="136"/>
      </rPr>
      <t>年底老人公寓、老人住宅</t>
    </r>
    <phoneticPr fontId="6" type="noConversion"/>
  </si>
  <si>
    <r>
      <rPr>
        <sz val="10"/>
        <rFont val="華康粗圓體"/>
        <family val="3"/>
        <charset val="136"/>
      </rPr>
      <t>說　　明：</t>
    </r>
    <r>
      <rPr>
        <sz val="10"/>
        <rFont val="Arial Narrow"/>
        <family val="2"/>
      </rPr>
      <t>105</t>
    </r>
    <r>
      <rPr>
        <sz val="10"/>
        <rFont val="華康粗圓體"/>
        <family val="3"/>
        <charset val="136"/>
      </rPr>
      <t>年起老人公寓更名為老人公寓、老人住宅。</t>
    </r>
    <phoneticPr fontId="6" type="noConversion"/>
  </si>
  <si>
    <r>
      <t xml:space="preserve">                    2.</t>
    </r>
    <r>
      <rPr>
        <sz val="10"/>
        <rFont val="華康粗圓體"/>
        <family val="3"/>
        <charset val="136"/>
      </rPr>
      <t>自</t>
    </r>
    <r>
      <rPr>
        <sz val="10"/>
        <rFont val="Arial Narrow"/>
        <family val="2"/>
      </rPr>
      <t>104</t>
    </r>
    <r>
      <rPr>
        <sz val="10"/>
        <rFont val="華康粗圓體"/>
        <family val="3"/>
        <charset val="136"/>
      </rPr>
      <t>年起，本表新增「公設民營機構」及「</t>
    </r>
    <r>
      <rPr>
        <sz val="10"/>
        <rFont val="Arial Narrow"/>
        <family val="2"/>
      </rPr>
      <t xml:space="preserve"> </t>
    </r>
    <r>
      <rPr>
        <sz val="10"/>
        <rFont val="華康粗圓體"/>
        <family val="3"/>
        <charset val="136"/>
      </rPr>
      <t>接受本府社會局委託服務單位」人員數。</t>
    </r>
    <r>
      <rPr>
        <sz val="10"/>
        <rFont val="Arial Narrow"/>
        <family val="2"/>
      </rPr>
      <t xml:space="preserve"> </t>
    </r>
    <phoneticPr fontId="4" type="noConversion"/>
  </si>
  <si>
    <t xml:space="preserve">          2.Data of government-owned,contractor-operated organizations and units authorized by department of social welfaret,taoyuan </t>
    <phoneticPr fontId="6" type="noConversion"/>
  </si>
  <si>
    <r>
      <rPr>
        <sz val="10"/>
        <rFont val="華康粗圓體"/>
        <family val="3"/>
        <charset val="136"/>
      </rPr>
      <t>非社工
專業人員</t>
    </r>
    <phoneticPr fontId="4" type="noConversion"/>
  </si>
  <si>
    <t>-</t>
    <phoneticPr fontId="6" type="noConversion"/>
  </si>
  <si>
    <r>
      <rPr>
        <sz val="10"/>
        <rFont val="華康粗圓體"/>
        <family val="3"/>
        <charset val="136"/>
      </rPr>
      <t>合計</t>
    </r>
    <phoneticPr fontId="6" type="noConversion"/>
  </si>
  <si>
    <r>
      <rPr>
        <sz val="10"/>
        <rFont val="華康粗圓體"/>
        <family val="3"/>
        <charset val="136"/>
      </rPr>
      <t>資料來源：行政院農業委員會、勞動部及本府社會局。</t>
    </r>
    <phoneticPr fontId="6" type="noConversion"/>
  </si>
  <si>
    <r>
      <rPr>
        <sz val="10"/>
        <rFont val="華康粗圓體"/>
        <family val="3"/>
        <charset val="136"/>
      </rPr>
      <t>社會服務
及公益
慈善團體</t>
    </r>
    <phoneticPr fontId="6" type="noConversion"/>
  </si>
  <si>
    <r>
      <rPr>
        <sz val="10"/>
        <rFont val="華康粗圓體"/>
        <family val="3"/>
        <charset val="136"/>
      </rPr>
      <t>農會</t>
    </r>
    <phoneticPr fontId="4" type="noConversion"/>
  </si>
  <si>
    <r>
      <rPr>
        <sz val="10"/>
        <rFont val="華康粗圓體"/>
        <family val="3"/>
        <charset val="136"/>
      </rPr>
      <t>自由職業
團　　體</t>
    </r>
    <phoneticPr fontId="6" type="noConversion"/>
  </si>
  <si>
    <r>
      <rPr>
        <sz val="10"/>
        <rFont val="華康粗圓體"/>
        <family val="3"/>
        <charset val="136"/>
      </rPr>
      <t>職業團體</t>
    </r>
    <phoneticPr fontId="6" type="noConversion"/>
  </si>
  <si>
    <r>
      <rPr>
        <sz val="10"/>
        <rFont val="華康粗圓體"/>
        <family val="3"/>
        <charset val="136"/>
      </rPr>
      <t>體育團體</t>
    </r>
    <phoneticPr fontId="6" type="noConversion"/>
  </si>
  <si>
    <r>
      <rPr>
        <sz val="10"/>
        <rFont val="華康粗圓體"/>
        <family val="3"/>
        <charset val="136"/>
      </rPr>
      <t>其他</t>
    </r>
    <phoneticPr fontId="6" type="noConversion"/>
  </si>
  <si>
    <r>
      <rPr>
        <sz val="10"/>
        <rFont val="華康粗圓體"/>
        <family val="3"/>
        <charset val="136"/>
      </rPr>
      <t>民國</t>
    </r>
    <r>
      <rPr>
        <sz val="10"/>
        <rFont val="Arial Narrow"/>
        <family val="2"/>
      </rPr>
      <t>102</t>
    </r>
    <r>
      <rPr>
        <sz val="10"/>
        <rFont val="華康粗圓體"/>
        <family val="3"/>
        <charset val="136"/>
      </rPr>
      <t xml:space="preserve">年底
</t>
    </r>
    <r>
      <rPr>
        <sz val="10"/>
        <rFont val="Arial Narrow"/>
        <family val="2"/>
      </rPr>
      <t>End of 2013</t>
    </r>
    <phoneticPr fontId="6" type="noConversion"/>
  </si>
  <si>
    <r>
      <rPr>
        <sz val="10"/>
        <rFont val="華康粗圓體"/>
        <family val="3"/>
        <charset val="136"/>
      </rPr>
      <t>民國</t>
    </r>
    <r>
      <rPr>
        <sz val="10"/>
        <rFont val="Arial Narrow"/>
        <family val="2"/>
      </rPr>
      <t>105</t>
    </r>
    <r>
      <rPr>
        <sz val="10"/>
        <rFont val="華康粗圓體"/>
        <family val="3"/>
        <charset val="136"/>
      </rPr>
      <t xml:space="preserve">年底
</t>
    </r>
    <r>
      <rPr>
        <sz val="10"/>
        <rFont val="Arial Narrow"/>
        <family val="2"/>
      </rPr>
      <t>End of 2016</t>
    </r>
    <phoneticPr fontId="6" type="noConversion"/>
  </si>
  <si>
    <r>
      <rPr>
        <sz val="10"/>
        <rFont val="華康粗圓體"/>
        <family val="3"/>
        <charset val="136"/>
      </rPr>
      <t>民國</t>
    </r>
    <r>
      <rPr>
        <sz val="10"/>
        <rFont val="Arial Narrow"/>
        <family val="2"/>
      </rPr>
      <t>106</t>
    </r>
    <r>
      <rPr>
        <sz val="10"/>
        <rFont val="華康粗圓體"/>
        <family val="3"/>
        <charset val="136"/>
      </rPr>
      <t xml:space="preserve">年底
</t>
    </r>
    <r>
      <rPr>
        <sz val="10"/>
        <rFont val="Arial Narrow"/>
        <family val="2"/>
      </rPr>
      <t>End of 2017</t>
    </r>
    <phoneticPr fontId="6" type="noConversion"/>
  </si>
  <si>
    <r>
      <rPr>
        <sz val="10"/>
        <rFont val="華康粗圓體"/>
        <family val="3"/>
        <charset val="136"/>
      </rPr>
      <t>醫療機構</t>
    </r>
    <phoneticPr fontId="4" type="noConversion"/>
  </si>
  <si>
    <r>
      <rPr>
        <sz val="10"/>
        <rFont val="華康粗圓體"/>
        <family val="3"/>
        <charset val="136"/>
      </rPr>
      <t>民國</t>
    </r>
    <r>
      <rPr>
        <sz val="10"/>
        <rFont val="Arial Narrow"/>
        <family val="2"/>
      </rPr>
      <t>106</t>
    </r>
    <r>
      <rPr>
        <sz val="10"/>
        <rFont val="華康粗圓體"/>
        <family val="3"/>
        <charset val="136"/>
      </rPr>
      <t>年底</t>
    </r>
    <phoneticPr fontId="6" type="noConversion"/>
  </si>
  <si>
    <r>
      <rPr>
        <sz val="10"/>
        <rFont val="華康粗圓體"/>
        <family val="3"/>
        <charset val="136"/>
      </rPr>
      <t>民國</t>
    </r>
    <r>
      <rPr>
        <sz val="10"/>
        <rFont val="Arial Narrow"/>
        <family val="2"/>
      </rPr>
      <t>107</t>
    </r>
    <r>
      <rPr>
        <sz val="10"/>
        <rFont val="華康粗圓體"/>
        <family val="3"/>
        <charset val="136"/>
      </rPr>
      <t>年底</t>
    </r>
    <phoneticPr fontId="6" type="noConversion"/>
  </si>
  <si>
    <r>
      <rPr>
        <sz val="10"/>
        <rFont val="華康粗圓體"/>
        <family val="3"/>
        <charset val="136"/>
      </rPr>
      <t>身心障礙教養院</t>
    </r>
    <phoneticPr fontId="6" type="noConversion"/>
  </si>
  <si>
    <r>
      <rPr>
        <sz val="10"/>
        <rFont val="華康粗圓體"/>
        <family val="3"/>
        <charset val="136"/>
      </rPr>
      <t>福利基金會</t>
    </r>
    <phoneticPr fontId="6" type="noConversion"/>
  </si>
  <si>
    <r>
      <rPr>
        <sz val="10"/>
        <rFont val="華康粗圓體"/>
        <family val="3"/>
        <charset val="136"/>
      </rPr>
      <t>民國</t>
    </r>
    <r>
      <rPr>
        <sz val="10"/>
        <rFont val="Arial Narrow"/>
        <family val="2"/>
      </rPr>
      <t>106</t>
    </r>
    <r>
      <rPr>
        <sz val="10"/>
        <rFont val="華康粗圓體"/>
        <family val="3"/>
        <charset val="136"/>
      </rPr>
      <t>年底</t>
    </r>
    <phoneticPr fontId="6" type="noConversion"/>
  </si>
  <si>
    <r>
      <rPr>
        <sz val="10"/>
        <rFont val="華康粗圓體"/>
        <family val="3"/>
        <charset val="136"/>
      </rPr>
      <t>個人社員</t>
    </r>
    <phoneticPr fontId="4" type="noConversion"/>
  </si>
  <si>
    <r>
      <rPr>
        <sz val="10"/>
        <rFont val="華康粗圓體"/>
        <family val="3"/>
        <charset val="136"/>
      </rPr>
      <t>男</t>
    </r>
    <phoneticPr fontId="6" type="noConversion"/>
  </si>
  <si>
    <r>
      <rPr>
        <sz val="10"/>
        <rFont val="華康粗圓體"/>
        <family val="3"/>
        <charset val="136"/>
      </rPr>
      <t>女</t>
    </r>
    <phoneticPr fontId="6" type="noConversion"/>
  </si>
  <si>
    <r>
      <rPr>
        <sz val="10"/>
        <rFont val="華康粗圓體"/>
        <family val="3"/>
        <charset val="136"/>
      </rPr>
      <t>二、工業合作社</t>
    </r>
    <phoneticPr fontId="4" type="noConversion"/>
  </si>
  <si>
    <r>
      <rPr>
        <sz val="10"/>
        <rFont val="華康粗圓體"/>
        <family val="3"/>
        <charset val="136"/>
      </rPr>
      <t>原住民勞動</t>
    </r>
    <phoneticPr fontId="6" type="noConversion"/>
  </si>
  <si>
    <r>
      <rPr>
        <sz val="10"/>
        <rFont val="華康粗圓體"/>
        <family val="3"/>
        <charset val="136"/>
      </rPr>
      <t>四、公用</t>
    </r>
    <phoneticPr fontId="4" type="noConversion"/>
  </si>
  <si>
    <r>
      <rPr>
        <sz val="10"/>
        <rFont val="華康粗圓體"/>
        <family val="3"/>
        <charset val="136"/>
      </rPr>
      <t>乙、兼營合作社</t>
    </r>
    <phoneticPr fontId="4" type="noConversion"/>
  </si>
  <si>
    <r>
      <rPr>
        <sz val="10"/>
        <rFont val="華康粗圓體"/>
        <family val="3"/>
        <charset val="136"/>
      </rPr>
      <t>一、區域性</t>
    </r>
    <phoneticPr fontId="4" type="noConversion"/>
  </si>
  <si>
    <r>
      <rPr>
        <sz val="10"/>
        <rFont val="華康粗圓體"/>
        <family val="3"/>
        <charset val="136"/>
      </rPr>
      <t>二、社區</t>
    </r>
    <phoneticPr fontId="4" type="noConversion"/>
  </si>
  <si>
    <r>
      <rPr>
        <sz val="10"/>
        <rFont val="華康粗圓體"/>
        <family val="3"/>
        <charset val="136"/>
      </rPr>
      <t>三、合作農場</t>
    </r>
    <phoneticPr fontId="4" type="noConversion"/>
  </si>
  <si>
    <r>
      <rPr>
        <sz val="10"/>
        <rFont val="華康粗圓體"/>
        <family val="3"/>
        <charset val="136"/>
      </rPr>
      <t>農業運銷</t>
    </r>
    <phoneticPr fontId="4" type="noConversion"/>
  </si>
  <si>
    <r>
      <rPr>
        <sz val="10"/>
        <rFont val="華康粗圓體"/>
        <family val="3"/>
        <charset val="136"/>
      </rPr>
      <t>農業供給</t>
    </r>
    <phoneticPr fontId="4" type="noConversion"/>
  </si>
  <si>
    <r>
      <rPr>
        <sz val="10"/>
        <rFont val="華康粗圓體"/>
        <family val="3"/>
        <charset val="136"/>
      </rPr>
      <t>農業勞動</t>
    </r>
    <phoneticPr fontId="4" type="noConversion"/>
  </si>
  <si>
    <r>
      <rPr>
        <sz val="10"/>
        <rFont val="華康粗圓體"/>
        <family val="3"/>
        <charset val="136"/>
      </rPr>
      <t>工業利用</t>
    </r>
    <phoneticPr fontId="4" type="noConversion"/>
  </si>
  <si>
    <r>
      <rPr>
        <sz val="10"/>
        <rFont val="華康粗圓體"/>
        <family val="3"/>
        <charset val="136"/>
      </rPr>
      <t>民國</t>
    </r>
    <r>
      <rPr>
        <sz val="10"/>
        <rFont val="Arial Narrow"/>
        <family val="2"/>
      </rPr>
      <t>98</t>
    </r>
    <r>
      <rPr>
        <sz val="10"/>
        <rFont val="華康粗圓體"/>
        <family val="3"/>
        <charset val="136"/>
      </rPr>
      <t>年底</t>
    </r>
    <phoneticPr fontId="4" type="noConversion"/>
  </si>
  <si>
    <r>
      <rPr>
        <sz val="13"/>
        <rFont val="華康粗圓體"/>
        <family val="3"/>
        <charset val="136"/>
      </rPr>
      <t>表</t>
    </r>
    <r>
      <rPr>
        <sz val="13"/>
        <rFont val="Arial Narrow"/>
        <family val="2"/>
      </rPr>
      <t>11-4</t>
    </r>
    <r>
      <rPr>
        <sz val="13"/>
        <rFont val="華康粗圓體"/>
        <family val="3"/>
        <charset val="136"/>
      </rPr>
      <t>、合作社概況</t>
    </r>
    <phoneticPr fontId="6" type="noConversion"/>
  </si>
  <si>
    <r>
      <rPr>
        <sz val="10"/>
        <rFont val="華康粗圓體"/>
        <family val="3"/>
        <charset val="136"/>
      </rPr>
      <t>單位社　</t>
    </r>
    <r>
      <rPr>
        <sz val="10"/>
        <rFont val="Arial Narrow"/>
        <family val="2"/>
      </rPr>
      <t>Unit of Cooperatives</t>
    </r>
    <phoneticPr fontId="6" type="noConversion"/>
  </si>
  <si>
    <r>
      <rPr>
        <sz val="10"/>
        <rFont val="華康粗圓體"/>
        <family val="3"/>
        <charset val="136"/>
      </rPr>
      <t>聯合社　</t>
    </r>
    <r>
      <rPr>
        <sz val="10"/>
        <rFont val="Arial Narrow"/>
        <family val="2"/>
      </rPr>
      <t>Combines of Cooperatives</t>
    </r>
    <phoneticPr fontId="4" type="noConversion"/>
  </si>
  <si>
    <r>
      <rPr>
        <sz val="10"/>
        <rFont val="華康粗圓體"/>
        <family val="3"/>
        <charset val="136"/>
      </rPr>
      <t xml:space="preserve">股金總額
</t>
    </r>
    <r>
      <rPr>
        <sz val="10"/>
        <rFont val="Arial Narrow"/>
        <family val="2"/>
      </rPr>
      <t>(</t>
    </r>
    <r>
      <rPr>
        <sz val="10"/>
        <rFont val="華康粗圓體"/>
        <family val="3"/>
        <charset val="136"/>
      </rPr>
      <t>元</t>
    </r>
    <r>
      <rPr>
        <sz val="10"/>
        <rFont val="Arial Narrow"/>
        <family val="2"/>
      </rPr>
      <t>)
Capital
(NT$)</t>
    </r>
    <phoneticPr fontId="4" type="noConversion"/>
  </si>
  <si>
    <r>
      <rPr>
        <sz val="10"/>
        <rFont val="華康粗圓體"/>
        <family val="3"/>
        <charset val="136"/>
      </rPr>
      <t xml:space="preserve">社數
</t>
    </r>
    <r>
      <rPr>
        <sz val="10"/>
        <rFont val="Arial Narrow"/>
        <family val="2"/>
      </rPr>
      <t>(</t>
    </r>
    <r>
      <rPr>
        <sz val="10"/>
        <rFont val="華康粗圓體"/>
        <family val="3"/>
        <charset val="136"/>
      </rPr>
      <t>個</t>
    </r>
    <r>
      <rPr>
        <sz val="10"/>
        <rFont val="Arial Narrow"/>
        <family val="2"/>
      </rPr>
      <t>)
No. of Cooperatives
(Units)</t>
    </r>
    <phoneticPr fontId="4" type="noConversion"/>
  </si>
  <si>
    <r>
      <rPr>
        <sz val="10"/>
        <rFont val="華康粗圓體"/>
        <family val="3"/>
        <charset val="136"/>
      </rPr>
      <t>社場員數</t>
    </r>
    <r>
      <rPr>
        <sz val="10"/>
        <rFont val="Arial Narrow"/>
        <family val="2"/>
      </rPr>
      <t xml:space="preserve"> (</t>
    </r>
    <r>
      <rPr>
        <sz val="10"/>
        <rFont val="華康粗圓體"/>
        <family val="3"/>
        <charset val="136"/>
      </rPr>
      <t>人</t>
    </r>
    <r>
      <rPr>
        <sz val="10"/>
        <rFont val="Arial Narrow"/>
        <family val="2"/>
      </rPr>
      <t>)</t>
    </r>
    <phoneticPr fontId="4" type="noConversion"/>
  </si>
  <si>
    <r>
      <rPr>
        <sz val="10"/>
        <rFont val="華康粗圓體"/>
        <family val="3"/>
        <charset val="136"/>
      </rPr>
      <t>法人社員</t>
    </r>
    <phoneticPr fontId="4" type="noConversion"/>
  </si>
  <si>
    <r>
      <rPr>
        <sz val="10"/>
        <rFont val="華康粗圓體"/>
        <family val="3"/>
        <charset val="136"/>
      </rPr>
      <t>工業生產</t>
    </r>
    <phoneticPr fontId="4" type="noConversion"/>
  </si>
  <si>
    <r>
      <rPr>
        <sz val="10"/>
        <rFont val="華康粗圓體"/>
        <family val="3"/>
        <charset val="136"/>
      </rPr>
      <t>工業運銷</t>
    </r>
    <phoneticPr fontId="4" type="noConversion"/>
  </si>
  <si>
    <r>
      <rPr>
        <sz val="10"/>
        <rFont val="華康粗圓體"/>
        <family val="3"/>
        <charset val="136"/>
      </rPr>
      <t>勞　　工</t>
    </r>
    <phoneticPr fontId="4" type="noConversion"/>
  </si>
  <si>
    <r>
      <rPr>
        <sz val="10"/>
        <rFont val="華康粗圓體"/>
        <family val="3"/>
        <charset val="136"/>
      </rPr>
      <t>資料來源：本府社會局。</t>
    </r>
    <phoneticPr fontId="6" type="noConversion"/>
  </si>
  <si>
    <r>
      <rPr>
        <sz val="9"/>
        <rFont val="華康粗圓體"/>
        <family val="3"/>
        <charset val="136"/>
      </rPr>
      <t>理監事
人　數</t>
    </r>
    <phoneticPr fontId="6" type="noConversion"/>
  </si>
  <si>
    <r>
      <rPr>
        <sz val="9"/>
        <rFont val="華康粗圓體"/>
        <family val="3"/>
        <charset val="136"/>
      </rPr>
      <t>設　　置
社區生產
建設基金</t>
    </r>
    <phoneticPr fontId="4" type="noConversion"/>
  </si>
  <si>
    <r>
      <rPr>
        <sz val="9"/>
        <rFont val="華康粗圓體"/>
        <family val="3"/>
        <charset val="136"/>
      </rPr>
      <t>社　　區
活動中心</t>
    </r>
    <phoneticPr fontId="4" type="noConversion"/>
  </si>
  <si>
    <r>
      <rPr>
        <sz val="9"/>
        <rFont val="華康粗圓體"/>
        <family val="3"/>
        <charset val="136"/>
      </rPr>
      <t>社區發展工作項目</t>
    </r>
    <phoneticPr fontId="4" type="noConversion"/>
  </si>
  <si>
    <r>
      <rPr>
        <sz val="9"/>
        <rFont val="華康粗圓體"/>
        <family val="3"/>
        <charset val="136"/>
      </rPr>
      <t>社區
自籌款</t>
    </r>
    <phoneticPr fontId="4" type="noConversion"/>
  </si>
  <si>
    <r>
      <rPr>
        <sz val="9"/>
        <rFont val="華康粗圓體"/>
        <family val="3"/>
        <charset val="136"/>
      </rPr>
      <t>辦理社區幹部訓練</t>
    </r>
    <phoneticPr fontId="4" type="noConversion"/>
  </si>
  <si>
    <r>
      <rPr>
        <sz val="9"/>
        <rFont val="華康粗圓體"/>
        <family val="3"/>
        <charset val="136"/>
      </rPr>
      <t>辦理
社區
觀摩</t>
    </r>
    <phoneticPr fontId="4" type="noConversion"/>
  </si>
  <si>
    <r>
      <rPr>
        <sz val="9"/>
        <rFont val="華康粗圓體"/>
        <family val="3"/>
        <charset val="136"/>
      </rPr>
      <t>社區
長壽
俱樂部</t>
    </r>
    <phoneticPr fontId="4" type="noConversion"/>
  </si>
  <si>
    <r>
      <rPr>
        <sz val="9"/>
        <rFont val="華康粗圓體"/>
        <family val="3"/>
        <charset val="136"/>
      </rPr>
      <t xml:space="preserve">社區成長教室
</t>
    </r>
    <phoneticPr fontId="4" type="noConversion"/>
  </si>
  <si>
    <r>
      <rPr>
        <sz val="9"/>
        <rFont val="華康粗圓體"/>
        <family val="3"/>
        <charset val="136"/>
      </rPr>
      <t>社區
守望
相助隊</t>
    </r>
    <phoneticPr fontId="4" type="noConversion"/>
  </si>
  <si>
    <r>
      <rPr>
        <sz val="9"/>
        <rFont val="華康粗圓體"/>
        <family val="3"/>
        <charset val="136"/>
      </rPr>
      <t>社區民俗藝文康樂班隊</t>
    </r>
    <phoneticPr fontId="4" type="noConversion"/>
  </si>
  <si>
    <r>
      <rPr>
        <sz val="9"/>
        <rFont val="華康粗圓體"/>
        <family val="3"/>
        <charset val="136"/>
      </rPr>
      <t>辦理社區照顧關懷據點</t>
    </r>
    <phoneticPr fontId="6" type="noConversion"/>
  </si>
  <si>
    <r>
      <rPr>
        <sz val="9"/>
        <rFont val="華康粗圓體"/>
        <family val="3"/>
        <charset val="136"/>
      </rPr>
      <t>政府
補助款</t>
    </r>
    <phoneticPr fontId="4" type="noConversion"/>
  </si>
  <si>
    <r>
      <rPr>
        <sz val="9"/>
        <rFont val="華康粗圓體"/>
        <family val="3"/>
        <charset val="136"/>
      </rPr>
      <t>社區發展
協　　會
會</t>
    </r>
    <r>
      <rPr>
        <sz val="9"/>
        <rFont val="Arial Narrow"/>
        <family val="2"/>
      </rPr>
      <t xml:space="preserve"> </t>
    </r>
    <r>
      <rPr>
        <sz val="9"/>
        <rFont val="華康粗圓體"/>
        <family val="3"/>
        <charset val="136"/>
      </rPr>
      <t>員</t>
    </r>
    <r>
      <rPr>
        <sz val="9"/>
        <rFont val="Arial Narrow"/>
        <family val="2"/>
      </rPr>
      <t xml:space="preserve"> </t>
    </r>
    <r>
      <rPr>
        <sz val="9"/>
        <rFont val="華康粗圓體"/>
        <family val="3"/>
        <charset val="136"/>
      </rPr>
      <t>數</t>
    </r>
    <phoneticPr fontId="4" type="noConversion"/>
  </si>
  <si>
    <r>
      <rPr>
        <sz val="9"/>
        <rFont val="華康粗圓體"/>
        <family val="3"/>
        <charset val="136"/>
      </rPr>
      <t>實際使用經費</t>
    </r>
    <r>
      <rPr>
        <sz val="9"/>
        <rFont val="Arial Narrow"/>
        <family val="2"/>
      </rPr>
      <t>(</t>
    </r>
    <r>
      <rPr>
        <sz val="9"/>
        <rFont val="華康粗圓體"/>
        <family val="3"/>
        <charset val="136"/>
      </rPr>
      <t>元</t>
    </r>
    <r>
      <rPr>
        <sz val="9"/>
        <rFont val="Arial Narrow"/>
        <family val="2"/>
      </rPr>
      <t>)</t>
    </r>
    <phoneticPr fontId="4" type="noConversion"/>
  </si>
  <si>
    <r>
      <t>(</t>
    </r>
    <r>
      <rPr>
        <sz val="9"/>
        <rFont val="華康粗圓體"/>
        <family val="3"/>
        <charset val="136"/>
      </rPr>
      <t>個</t>
    </r>
    <r>
      <rPr>
        <sz val="9"/>
        <rFont val="Arial Narrow"/>
        <family val="2"/>
      </rPr>
      <t>)</t>
    </r>
    <phoneticPr fontId="4" type="noConversion"/>
  </si>
  <si>
    <r>
      <t>(</t>
    </r>
    <r>
      <rPr>
        <sz val="9"/>
        <rFont val="華康粗圓體"/>
        <family val="3"/>
        <charset val="136"/>
      </rPr>
      <t>戶</t>
    </r>
    <r>
      <rPr>
        <sz val="9"/>
        <rFont val="Arial Narrow"/>
        <family val="2"/>
      </rPr>
      <t>)</t>
    </r>
    <phoneticPr fontId="4" type="noConversion"/>
  </si>
  <si>
    <r>
      <t>(</t>
    </r>
    <r>
      <rPr>
        <sz val="9"/>
        <rFont val="華康粗圓體"/>
        <family val="3"/>
        <charset val="136"/>
      </rPr>
      <t>人</t>
    </r>
    <r>
      <rPr>
        <sz val="9"/>
        <rFont val="Arial Narrow"/>
        <family val="2"/>
      </rPr>
      <t>)</t>
    </r>
    <phoneticPr fontId="4" type="noConversion"/>
  </si>
  <si>
    <r>
      <t>(</t>
    </r>
    <r>
      <rPr>
        <sz val="9"/>
        <rFont val="華康粗圓體"/>
        <family val="3"/>
        <charset val="136"/>
      </rPr>
      <t>幢</t>
    </r>
    <r>
      <rPr>
        <sz val="9"/>
        <rFont val="Arial Narrow"/>
        <family val="2"/>
      </rPr>
      <t>)</t>
    </r>
    <phoneticPr fontId="6" type="noConversion"/>
  </si>
  <si>
    <r>
      <rPr>
        <sz val="9"/>
        <rFont val="華康粗圓體"/>
        <family val="3"/>
        <charset val="136"/>
      </rPr>
      <t xml:space="preserve">社區志願服務
</t>
    </r>
    <r>
      <rPr>
        <sz val="9"/>
        <rFont val="Arial Narrow"/>
        <family val="2"/>
      </rPr>
      <t>Community Volunteer Service</t>
    </r>
    <phoneticPr fontId="4" type="noConversion"/>
  </si>
  <si>
    <r>
      <rPr>
        <b/>
        <sz val="14"/>
        <color indexed="10"/>
        <rFont val="華康粗圓體"/>
        <family val="3"/>
        <charset val="136"/>
      </rPr>
      <t>問題</t>
    </r>
    <r>
      <rPr>
        <b/>
        <sz val="14"/>
        <color indexed="10"/>
        <rFont val="Arial Narrow"/>
        <family val="2"/>
      </rPr>
      <t>:</t>
    </r>
    <r>
      <rPr>
        <b/>
        <sz val="14"/>
        <color indexed="10"/>
        <rFont val="華康粗圓體"/>
        <family val="3"/>
        <charset val="136"/>
      </rPr>
      <t>報表與系統資料不一致</t>
    </r>
    <r>
      <rPr>
        <b/>
        <sz val="14"/>
        <color indexed="10"/>
        <rFont val="Arial Narrow"/>
        <family val="2"/>
      </rPr>
      <t>(5/29</t>
    </r>
    <r>
      <rPr>
        <b/>
        <sz val="14"/>
        <color indexed="10"/>
        <rFont val="華康粗圓體"/>
        <family val="3"/>
        <charset val="136"/>
      </rPr>
      <t>發現</t>
    </r>
    <r>
      <rPr>
        <b/>
        <sz val="14"/>
        <color indexed="10"/>
        <rFont val="Arial Narrow"/>
        <family val="2"/>
      </rPr>
      <t>)</t>
    </r>
    <phoneticPr fontId="6" type="noConversion"/>
  </si>
  <si>
    <r>
      <rPr>
        <sz val="10"/>
        <color indexed="9"/>
        <rFont val="華康粗圓體"/>
        <family val="3"/>
        <charset val="136"/>
      </rPr>
      <t>說明：</t>
    </r>
    <r>
      <rPr>
        <sz val="10"/>
        <rFont val="Arial Narrow"/>
        <family val="2"/>
      </rPr>
      <t>2.104</t>
    </r>
    <r>
      <rPr>
        <sz val="10"/>
        <rFont val="華康粗圓體"/>
        <family val="3"/>
        <charset val="136"/>
      </rPr>
      <t>年起社區媽媽教室更名為社區成長教室。</t>
    </r>
    <phoneticPr fontId="6" type="noConversion"/>
  </si>
  <si>
    <r>
      <rPr>
        <sz val="10"/>
        <color indexed="9"/>
        <rFont val="Arial Narrow"/>
        <family val="2"/>
      </rPr>
      <t>Note</t>
    </r>
    <r>
      <rPr>
        <sz val="10"/>
        <color indexed="9"/>
        <rFont val="華康粗圓體"/>
        <family val="3"/>
        <charset val="136"/>
      </rPr>
      <t>：</t>
    </r>
    <r>
      <rPr>
        <sz val="10"/>
        <rFont val="Arial Narrow"/>
        <family val="2"/>
      </rPr>
      <t>2.Since 2015, Community Mothers' Common Room renamed Community Growth Room.</t>
    </r>
    <phoneticPr fontId="6" type="noConversion"/>
  </si>
  <si>
    <r>
      <t>(</t>
    </r>
    <r>
      <rPr>
        <sz val="9"/>
        <rFont val="華康粗圓體"/>
        <family val="3"/>
        <charset val="136"/>
      </rPr>
      <t>人</t>
    </r>
    <r>
      <rPr>
        <sz val="9"/>
        <rFont val="Arial Narrow"/>
        <family val="2"/>
      </rPr>
      <t>)</t>
    </r>
    <phoneticPr fontId="6" type="noConversion"/>
  </si>
  <si>
    <t>-</t>
    <phoneticPr fontId="6" type="noConversion"/>
  </si>
  <si>
    <t>-</t>
    <phoneticPr fontId="6" type="noConversion"/>
  </si>
  <si>
    <r>
      <rPr>
        <b/>
        <sz val="18"/>
        <color indexed="10"/>
        <rFont val="華康粗圓體"/>
        <family val="3"/>
        <charset val="136"/>
      </rPr>
      <t>問題</t>
    </r>
    <r>
      <rPr>
        <b/>
        <sz val="18"/>
        <color indexed="10"/>
        <rFont val="Arial Narrow"/>
        <family val="2"/>
      </rPr>
      <t>:</t>
    </r>
    <r>
      <rPr>
        <b/>
        <sz val="18"/>
        <color indexed="10"/>
        <rFont val="華康粗圓體"/>
        <family val="3"/>
        <charset val="136"/>
      </rPr>
      <t>衛福部各區之間資料貼錯</t>
    </r>
    <phoneticPr fontId="6" type="noConversion"/>
  </si>
  <si>
    <r>
      <rPr>
        <sz val="10"/>
        <rFont val="華康粗圓體"/>
        <family val="3"/>
        <charset val="136"/>
      </rPr>
      <t>民國</t>
    </r>
    <r>
      <rPr>
        <sz val="10"/>
        <rFont val="Arial Narrow"/>
        <family val="2"/>
      </rPr>
      <t>99</t>
    </r>
    <r>
      <rPr>
        <sz val="10"/>
        <rFont val="華康粗圓體"/>
        <family val="3"/>
        <charset val="136"/>
      </rPr>
      <t>年底</t>
    </r>
    <r>
      <rPr>
        <sz val="10"/>
        <rFont val="Arial Narrow"/>
        <family val="2"/>
      </rPr>
      <t xml:space="preserve"> End of 2010</t>
    </r>
    <phoneticPr fontId="6" type="noConversion"/>
  </si>
  <si>
    <r>
      <rPr>
        <sz val="10"/>
        <rFont val="華康粗圓體"/>
        <family val="3"/>
        <charset val="136"/>
      </rPr>
      <t>民國</t>
    </r>
    <r>
      <rPr>
        <sz val="10"/>
        <rFont val="Arial Narrow"/>
        <family val="2"/>
      </rPr>
      <t>100</t>
    </r>
    <r>
      <rPr>
        <sz val="10"/>
        <rFont val="華康粗圓體"/>
        <family val="3"/>
        <charset val="136"/>
      </rPr>
      <t>年底</t>
    </r>
    <r>
      <rPr>
        <sz val="10"/>
        <rFont val="Arial Narrow"/>
        <family val="2"/>
      </rPr>
      <t xml:space="preserve"> End of 2011</t>
    </r>
    <phoneticPr fontId="6" type="noConversion"/>
  </si>
  <si>
    <r>
      <rPr>
        <sz val="10"/>
        <rFont val="華康粗圓體"/>
        <family val="3"/>
        <charset val="136"/>
      </rPr>
      <t>民國</t>
    </r>
    <r>
      <rPr>
        <sz val="10"/>
        <rFont val="Arial Narrow"/>
        <family val="2"/>
      </rPr>
      <t>101</t>
    </r>
    <r>
      <rPr>
        <sz val="10"/>
        <rFont val="華康粗圓體"/>
        <family val="3"/>
        <charset val="136"/>
      </rPr>
      <t>年底</t>
    </r>
    <r>
      <rPr>
        <sz val="10"/>
        <rFont val="Arial Narrow"/>
        <family val="2"/>
      </rPr>
      <t xml:space="preserve"> End of 2012</t>
    </r>
    <phoneticPr fontId="6" type="noConversion"/>
  </si>
  <si>
    <r>
      <rPr>
        <sz val="10"/>
        <rFont val="華康粗圓體"/>
        <family val="3"/>
        <charset val="136"/>
      </rPr>
      <t>民國</t>
    </r>
    <r>
      <rPr>
        <sz val="10"/>
        <rFont val="Arial Narrow"/>
        <family val="2"/>
      </rPr>
      <t>103</t>
    </r>
    <r>
      <rPr>
        <sz val="10"/>
        <rFont val="華康粗圓體"/>
        <family val="3"/>
        <charset val="136"/>
      </rPr>
      <t>年底</t>
    </r>
    <r>
      <rPr>
        <sz val="10"/>
        <rFont val="Arial Narrow"/>
        <family val="2"/>
      </rPr>
      <t xml:space="preserve"> End of 2014</t>
    </r>
    <phoneticPr fontId="6" type="noConversion"/>
  </si>
  <si>
    <r>
      <rPr>
        <sz val="10"/>
        <rFont val="華康粗圓體"/>
        <family val="3"/>
        <charset val="136"/>
      </rPr>
      <t>民國</t>
    </r>
    <r>
      <rPr>
        <sz val="10"/>
        <rFont val="Arial Narrow"/>
        <family val="2"/>
      </rPr>
      <t>105</t>
    </r>
    <r>
      <rPr>
        <sz val="10"/>
        <rFont val="華康粗圓體"/>
        <family val="3"/>
        <charset val="136"/>
      </rPr>
      <t>年底</t>
    </r>
    <r>
      <rPr>
        <sz val="10"/>
        <rFont val="Arial Narrow"/>
        <family val="2"/>
      </rPr>
      <t xml:space="preserve"> End of 2016</t>
    </r>
    <phoneticPr fontId="6" type="noConversion"/>
  </si>
  <si>
    <r>
      <rPr>
        <sz val="10"/>
        <color indexed="9"/>
        <rFont val="Arial Narrow"/>
        <family val="2"/>
      </rPr>
      <t>Note</t>
    </r>
    <r>
      <rPr>
        <sz val="10"/>
        <color indexed="9"/>
        <rFont val="華康粗圓體"/>
        <family val="3"/>
        <charset val="136"/>
      </rPr>
      <t>：</t>
    </r>
    <r>
      <rPr>
        <sz val="10"/>
        <rFont val="Arial Narrow"/>
        <family val="2"/>
      </rPr>
      <t>2.In 2012,only With Disability Manual by Old System were included in grand total.</t>
    </r>
    <phoneticPr fontId="6" type="noConversion"/>
  </si>
  <si>
    <r>
      <rPr>
        <sz val="10"/>
        <rFont val="華康粗圓體"/>
        <family val="3"/>
        <charset val="136"/>
      </rPr>
      <t>因罕見疾病而致
身心功能障礙者</t>
    </r>
    <phoneticPr fontId="6" type="noConversion"/>
  </si>
  <si>
    <r>
      <rPr>
        <sz val="13"/>
        <rFont val="華康粗圓體"/>
        <family val="3"/>
        <charset val="136"/>
      </rPr>
      <t>表</t>
    </r>
    <r>
      <rPr>
        <sz val="13"/>
        <rFont val="Arial Narrow"/>
        <family val="2"/>
      </rPr>
      <t>11-6</t>
    </r>
    <r>
      <rPr>
        <sz val="13"/>
        <rFont val="華康粗圓體"/>
        <family val="3"/>
        <charset val="136"/>
      </rPr>
      <t>、身心障礙人數（續</t>
    </r>
    <r>
      <rPr>
        <sz val="13"/>
        <rFont val="Arial Narrow"/>
        <family val="2"/>
      </rPr>
      <t xml:space="preserve"> 1</t>
    </r>
    <r>
      <rPr>
        <sz val="13"/>
        <rFont val="華康粗圓體"/>
        <family val="3"/>
        <charset val="136"/>
      </rPr>
      <t>）</t>
    </r>
    <phoneticPr fontId="6" type="noConversion"/>
  </si>
  <si>
    <r>
      <rPr>
        <sz val="10"/>
        <rFont val="華康粗圓體"/>
        <family val="3"/>
        <charset val="136"/>
      </rPr>
      <t>年底及
區別</t>
    </r>
    <phoneticPr fontId="4" type="noConversion"/>
  </si>
  <si>
    <r>
      <rPr>
        <sz val="10"/>
        <rFont val="華康粗圓體"/>
        <family val="3"/>
        <charset val="136"/>
      </rPr>
      <t>領有舊制身心障礙手冊者</t>
    </r>
    <phoneticPr fontId="6" type="noConversion"/>
  </si>
  <si>
    <r>
      <rPr>
        <sz val="10"/>
        <rFont val="華康粗圓體"/>
        <family val="3"/>
        <charset val="136"/>
      </rPr>
      <t>失智症者</t>
    </r>
    <phoneticPr fontId="4" type="noConversion"/>
  </si>
  <si>
    <r>
      <rPr>
        <sz val="10"/>
        <rFont val="華康粗圓體"/>
        <family val="3"/>
        <charset val="136"/>
      </rPr>
      <t>自閉症者</t>
    </r>
    <phoneticPr fontId="4" type="noConversion"/>
  </si>
  <si>
    <r>
      <rPr>
        <sz val="10"/>
        <rFont val="華康粗圓體"/>
        <family val="3"/>
        <charset val="136"/>
      </rPr>
      <t>慢性精神病患者</t>
    </r>
    <phoneticPr fontId="4" type="noConversion"/>
  </si>
  <si>
    <r>
      <rPr>
        <sz val="10"/>
        <rFont val="華康粗圓體"/>
        <family val="3"/>
        <charset val="136"/>
      </rPr>
      <t>其他</t>
    </r>
    <phoneticPr fontId="4" type="noConversion"/>
  </si>
  <si>
    <r>
      <rPr>
        <sz val="10"/>
        <rFont val="華康粗圓體"/>
        <family val="3"/>
        <charset val="136"/>
      </rPr>
      <t>　楊梅區</t>
    </r>
    <r>
      <rPr>
        <sz val="10"/>
        <rFont val="Arial Narrow"/>
        <family val="2"/>
      </rPr>
      <t xml:space="preserve"> Yangmei District</t>
    </r>
    <phoneticPr fontId="6" type="noConversion"/>
  </si>
  <si>
    <r>
      <rPr>
        <sz val="10"/>
        <rFont val="華康粗圓體"/>
        <family val="3"/>
        <charset val="136"/>
      </rPr>
      <t>　蘆竹區</t>
    </r>
    <r>
      <rPr>
        <sz val="10"/>
        <rFont val="Arial Narrow"/>
        <family val="2"/>
      </rPr>
      <t xml:space="preserve"> Luzhu District</t>
    </r>
    <phoneticPr fontId="6" type="noConversion"/>
  </si>
  <si>
    <r>
      <rPr>
        <sz val="10"/>
        <rFont val="華康粗圓體"/>
        <family val="3"/>
        <charset val="136"/>
      </rPr>
      <t>　龍潭區</t>
    </r>
    <r>
      <rPr>
        <sz val="10"/>
        <rFont val="Arial Narrow"/>
        <family val="2"/>
      </rPr>
      <t xml:space="preserve"> Longtan District</t>
    </r>
    <phoneticPr fontId="6" type="noConversion"/>
  </si>
  <si>
    <r>
      <rPr>
        <sz val="10"/>
        <rFont val="華康粗圓體"/>
        <family val="3"/>
        <charset val="136"/>
      </rPr>
      <t>　新屋區</t>
    </r>
    <r>
      <rPr>
        <sz val="10"/>
        <rFont val="Arial Narrow"/>
        <family val="2"/>
      </rPr>
      <t xml:space="preserve"> Xinwu District</t>
    </r>
    <phoneticPr fontId="6" type="noConversion"/>
  </si>
  <si>
    <r>
      <rPr>
        <sz val="10"/>
        <rFont val="華康粗圓體"/>
        <family val="3"/>
        <charset val="136"/>
      </rPr>
      <t>單位：人</t>
    </r>
    <phoneticPr fontId="4" type="noConversion"/>
  </si>
  <si>
    <r>
      <rPr>
        <sz val="10"/>
        <rFont val="華康粗圓體"/>
        <family val="3"/>
        <charset val="136"/>
      </rPr>
      <t>領有新制身心障礙證明者</t>
    </r>
    <phoneticPr fontId="6" type="noConversion"/>
  </si>
  <si>
    <r>
      <rPr>
        <sz val="10"/>
        <rFont val="華康粗圓體"/>
        <family val="3"/>
        <charset val="136"/>
      </rPr>
      <t xml:space="preserve">身心障礙
人數占
總人口比率
</t>
    </r>
    <r>
      <rPr>
        <sz val="10"/>
        <rFont val="Arial Narrow"/>
        <family val="2"/>
      </rPr>
      <t>(%)</t>
    </r>
    <phoneticPr fontId="4" type="noConversion"/>
  </si>
  <si>
    <r>
      <rPr>
        <sz val="10"/>
        <rFont val="華康粗圓體"/>
        <family val="3"/>
        <charset val="136"/>
      </rPr>
      <t>合計</t>
    </r>
    <phoneticPr fontId="6" type="noConversion"/>
  </si>
  <si>
    <r>
      <rPr>
        <sz val="10"/>
        <rFont val="華康粗圓體"/>
        <family val="3"/>
        <charset val="136"/>
      </rPr>
      <t>神經系統構造及精神、心智功能</t>
    </r>
    <phoneticPr fontId="4" type="noConversion"/>
  </si>
  <si>
    <r>
      <rPr>
        <sz val="10"/>
        <rFont val="華康粗圓體"/>
        <family val="3"/>
        <charset val="136"/>
      </rPr>
      <t>涉及聲音及
言語構造及
其功能</t>
    </r>
    <phoneticPr fontId="4" type="noConversion"/>
  </si>
  <si>
    <r>
      <rPr>
        <sz val="9.5"/>
        <rFont val="華康粗圓體"/>
        <family val="3"/>
        <charset val="136"/>
      </rPr>
      <t>循環、造血、免疫及呼吸系統構造及其功能</t>
    </r>
    <phoneticPr fontId="4" type="noConversion"/>
  </si>
  <si>
    <r>
      <rPr>
        <sz val="9.5"/>
        <rFont val="華康粗圓體"/>
        <family val="3"/>
        <charset val="136"/>
      </rPr>
      <t>消化、新陳代謝與內分泌系統相關構造及其功能</t>
    </r>
    <phoneticPr fontId="4" type="noConversion"/>
  </si>
  <si>
    <r>
      <rPr>
        <sz val="9.5"/>
        <rFont val="華康粗圓體"/>
        <family val="3"/>
        <charset val="136"/>
      </rPr>
      <t>泌尿與生殖系統
相關構造及
其功能</t>
    </r>
    <phoneticPr fontId="4" type="noConversion"/>
  </si>
  <si>
    <r>
      <rPr>
        <sz val="10"/>
        <rFont val="華康粗圓體"/>
        <family val="3"/>
        <charset val="136"/>
      </rPr>
      <t>神經、肌肉、骨骼之移動相關構造及其功能</t>
    </r>
    <phoneticPr fontId="6" type="noConversion"/>
  </si>
  <si>
    <r>
      <rPr>
        <sz val="10"/>
        <rFont val="華康粗圓體"/>
        <family val="3"/>
        <charset val="136"/>
      </rPr>
      <t>跨兩類別
以上者</t>
    </r>
    <phoneticPr fontId="6" type="noConversion"/>
  </si>
  <si>
    <r>
      <rPr>
        <sz val="10"/>
        <rFont val="華康粗圓體"/>
        <family val="3"/>
        <charset val="136"/>
      </rPr>
      <t>計</t>
    </r>
    <phoneticPr fontId="6" type="noConversion"/>
  </si>
  <si>
    <r>
      <rPr>
        <sz val="10"/>
        <rFont val="華康粗圓體"/>
        <family val="3"/>
        <charset val="136"/>
      </rPr>
      <t>男</t>
    </r>
    <phoneticPr fontId="6" type="noConversion"/>
  </si>
  <si>
    <r>
      <rPr>
        <sz val="10"/>
        <rFont val="華康粗圓體"/>
        <family val="3"/>
        <charset val="136"/>
      </rPr>
      <t>女</t>
    </r>
    <phoneticPr fontId="6" type="noConversion"/>
  </si>
  <si>
    <r>
      <rPr>
        <sz val="10"/>
        <rFont val="華康粗圓體"/>
        <family val="3"/>
        <charset val="136"/>
      </rPr>
      <t>男</t>
    </r>
    <phoneticPr fontId="6" type="noConversion"/>
  </si>
  <si>
    <r>
      <rPr>
        <sz val="10"/>
        <rFont val="華康粗圓體"/>
        <family val="3"/>
        <charset val="136"/>
      </rPr>
      <t>女</t>
    </r>
    <phoneticPr fontId="6" type="noConversion"/>
  </si>
  <si>
    <r>
      <rPr>
        <sz val="10"/>
        <rFont val="華康粗圓體"/>
        <family val="3"/>
        <charset val="136"/>
      </rPr>
      <t>女</t>
    </r>
    <phoneticPr fontId="6" type="noConversion"/>
  </si>
  <si>
    <r>
      <rPr>
        <sz val="10"/>
        <rFont val="華康粗圓體"/>
        <family val="3"/>
        <charset val="136"/>
      </rPr>
      <t>女</t>
    </r>
    <phoneticPr fontId="6" type="noConversion"/>
  </si>
  <si>
    <r>
      <rPr>
        <sz val="10"/>
        <rFont val="華康粗圓體"/>
        <family val="3"/>
        <charset val="136"/>
      </rPr>
      <t>男</t>
    </r>
    <phoneticPr fontId="6" type="noConversion"/>
  </si>
  <si>
    <r>
      <rPr>
        <sz val="10"/>
        <rFont val="華康粗圓體"/>
        <family val="3"/>
        <charset val="136"/>
      </rPr>
      <t>民國</t>
    </r>
    <r>
      <rPr>
        <sz val="10"/>
        <rFont val="Arial Narrow"/>
        <family val="2"/>
      </rPr>
      <t>107</t>
    </r>
    <r>
      <rPr>
        <sz val="10"/>
        <rFont val="華康粗圓體"/>
        <family val="3"/>
        <charset val="136"/>
      </rPr>
      <t>年底</t>
    </r>
    <r>
      <rPr>
        <sz val="10"/>
        <rFont val="Arial Narrow"/>
        <family val="2"/>
      </rPr>
      <t xml:space="preserve"> End of 2018</t>
    </r>
    <phoneticPr fontId="6" type="noConversion"/>
  </si>
  <si>
    <r>
      <rPr>
        <sz val="10"/>
        <rFont val="華康粗圓體"/>
        <family val="3"/>
        <charset val="136"/>
      </rPr>
      <t>　桃園區</t>
    </r>
    <r>
      <rPr>
        <sz val="10"/>
        <rFont val="Arial Narrow"/>
        <family val="2"/>
      </rPr>
      <t xml:space="preserve"> Taoyuan District</t>
    </r>
    <phoneticPr fontId="6" type="noConversion"/>
  </si>
  <si>
    <r>
      <rPr>
        <sz val="10"/>
        <rFont val="華康粗圓體"/>
        <family val="3"/>
        <charset val="136"/>
      </rPr>
      <t>　中壢區</t>
    </r>
    <r>
      <rPr>
        <sz val="10"/>
        <rFont val="Arial Narrow"/>
        <family val="2"/>
      </rPr>
      <t xml:space="preserve"> Zhongli District</t>
    </r>
    <phoneticPr fontId="6" type="noConversion"/>
  </si>
  <si>
    <r>
      <rPr>
        <sz val="10"/>
        <rFont val="華康粗圓體"/>
        <family val="3"/>
        <charset val="136"/>
      </rPr>
      <t>　復興區</t>
    </r>
    <r>
      <rPr>
        <sz val="10"/>
        <rFont val="Arial Narrow"/>
        <family val="2"/>
      </rPr>
      <t xml:space="preserve"> Fuxing District</t>
    </r>
    <phoneticPr fontId="6" type="noConversion"/>
  </si>
  <si>
    <t>-</t>
    <phoneticPr fontId="6" type="noConversion"/>
  </si>
  <si>
    <t>-</t>
    <phoneticPr fontId="6" type="noConversion"/>
  </si>
  <si>
    <t>-</t>
    <phoneticPr fontId="6" type="noConversion"/>
  </si>
  <si>
    <t>-</t>
    <phoneticPr fontId="6" type="noConversion"/>
  </si>
  <si>
    <t>-</t>
    <phoneticPr fontId="6" type="noConversion"/>
  </si>
  <si>
    <t>-</t>
    <phoneticPr fontId="6" type="noConversion"/>
  </si>
  <si>
    <t>-</t>
    <phoneticPr fontId="6" type="noConversion"/>
  </si>
  <si>
    <r>
      <rPr>
        <sz val="10"/>
        <rFont val="華康粗圓體"/>
        <family val="3"/>
        <charset val="136"/>
      </rPr>
      <t>民國</t>
    </r>
    <r>
      <rPr>
        <sz val="10"/>
        <rFont val="Arial Narrow"/>
        <family val="2"/>
      </rPr>
      <t>98</t>
    </r>
    <r>
      <rPr>
        <sz val="10"/>
        <rFont val="華康粗圓體"/>
        <family val="3"/>
        <charset val="136"/>
      </rPr>
      <t xml:space="preserve">年底
</t>
    </r>
    <r>
      <rPr>
        <sz val="10"/>
        <rFont val="Arial Narrow"/>
        <family val="2"/>
      </rPr>
      <t>End of 2009</t>
    </r>
    <phoneticPr fontId="6"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</si>
</sst>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41" formatCode="_-* #,##0_-;\-* #,##0_-;_-* &quot;-&quot;_-;_-@_-"/>
    <numFmt numFmtId="43" formatCode="_-* #,##0.00_-;\-* #,##0.00_-;_-* &quot;-&quot;??_-;_-@_-"/>
    <numFmt numFmtId="176" formatCode="#,##0;[Red]#,##0"/>
    <numFmt numFmtId="177" formatCode="#,##0.00;[Red]#,##0.00"/>
    <numFmt numFmtId="178" formatCode="#,##0;\-#,##0;&quot;－&quot;"/>
    <numFmt numFmtId="179" formatCode="_(* #,##0_);_(* \(#,##0\);_(* &quot;-&quot;_);_(@_)"/>
    <numFmt numFmtId="180" formatCode="_-* #,##0_-;\-* #,##0_-;_-* &quot;-&quot;??_-;_-@_-"/>
    <numFmt numFmtId="181" formatCode="#,##0_ "/>
    <numFmt numFmtId="182" formatCode="0.00;[Red]0.00"/>
    <numFmt numFmtId="183" formatCode="#,##0;\-\,##0;&quot;-&quot;"/>
    <numFmt numFmtId="184" formatCode="#,##0;\-#,##0;\-"/>
    <numFmt numFmtId="185" formatCode="_-* #,##0.00_-;\-* #,##0.00_-;_-* &quot;-&quot;_-;_-@_-"/>
    <numFmt numFmtId="186" formatCode="#,##0_);[Red]\(#,##0\)"/>
  </numFmts>
  <fonts count="85">
    <font>
      <sz val="12"/>
      <name val="新細明體"/>
      <family val="1"/>
      <charset val="136"/>
    </font>
    <font>
      <sz val="12"/>
      <name val="新細明體"/>
      <family val="1"/>
      <charset val="136"/>
    </font>
    <font>
      <sz val="9"/>
      <name val="Arial Narrow"/>
      <family val="2"/>
    </font>
    <font>
      <sz val="9"/>
      <name val="標楷體"/>
      <family val="4"/>
      <charset val="136"/>
    </font>
    <font>
      <sz val="9"/>
      <name val="細明體"/>
      <family val="3"/>
      <charset val="136"/>
    </font>
    <font>
      <sz val="12"/>
      <name val="Arial"/>
      <family val="2"/>
    </font>
    <font>
      <sz val="9"/>
      <name val="新細明體"/>
      <family val="1"/>
      <charset val="136"/>
    </font>
    <font>
      <sz val="9"/>
      <name val="華康粗圓體"/>
      <family val="3"/>
      <charset val="136"/>
    </font>
    <font>
      <sz val="8.5"/>
      <name val="華康粗圓體"/>
      <family val="3"/>
      <charset val="136"/>
    </font>
    <font>
      <sz val="12"/>
      <name val="Times New Roman"/>
      <family val="1"/>
    </font>
    <font>
      <sz val="8.5"/>
      <name val="Arial Narrow"/>
      <family val="2"/>
    </font>
    <font>
      <sz val="18"/>
      <name val="新細明體"/>
      <family val="1"/>
      <charset val="136"/>
    </font>
    <font>
      <sz val="8"/>
      <color indexed="8"/>
      <name val="華康中黑體"/>
      <family val="3"/>
      <charset val="136"/>
    </font>
    <font>
      <sz val="9"/>
      <name val="Times New Roman"/>
      <family val="1"/>
    </font>
    <font>
      <b/>
      <sz val="9"/>
      <color indexed="81"/>
      <name val="細明體"/>
      <family val="3"/>
      <charset val="136"/>
    </font>
    <font>
      <b/>
      <sz val="9"/>
      <color indexed="81"/>
      <name val="Tahoma"/>
      <family val="2"/>
    </font>
    <font>
      <sz val="9"/>
      <color indexed="81"/>
      <name val="Tahoma"/>
      <family val="2"/>
    </font>
    <font>
      <sz val="7.5"/>
      <name val="Arial Narrow"/>
      <family val="2"/>
    </font>
    <font>
      <sz val="9"/>
      <color indexed="81"/>
      <name val="細明體"/>
      <family val="3"/>
      <charset val="136"/>
    </font>
    <font>
      <b/>
      <sz val="9"/>
      <color indexed="81"/>
      <name val="新細明體"/>
      <family val="1"/>
      <charset val="136"/>
    </font>
    <font>
      <sz val="10"/>
      <name val="Times New Roman"/>
      <family val="1"/>
    </font>
    <font>
      <b/>
      <sz val="12"/>
      <name val="Times"/>
      <family val="1"/>
    </font>
    <font>
      <sz val="10"/>
      <name val="Arial Narrow"/>
      <family val="2"/>
    </font>
    <font>
      <sz val="10"/>
      <name val="華康粗圓體"/>
      <family val="3"/>
      <charset val="136"/>
    </font>
    <font>
      <sz val="10"/>
      <color indexed="10"/>
      <name val="Arial Narrow"/>
      <family val="2"/>
    </font>
    <font>
      <sz val="10"/>
      <color indexed="8"/>
      <name val="Arial Narrow"/>
      <family val="2"/>
    </font>
    <font>
      <sz val="10"/>
      <color indexed="8"/>
      <name val="華康粗圓體"/>
      <family val="3"/>
      <charset val="136"/>
    </font>
    <font>
      <sz val="10"/>
      <color indexed="9"/>
      <name val="Arial Narrow"/>
      <family val="2"/>
    </font>
    <font>
      <b/>
      <sz val="10"/>
      <name val="Arial Narrow"/>
      <family val="2"/>
    </font>
    <font>
      <b/>
      <sz val="10"/>
      <name val="華康粗圓體"/>
      <family val="3"/>
      <charset val="136"/>
    </font>
    <font>
      <sz val="13"/>
      <name val="華康粗圓體"/>
      <family val="3"/>
      <charset val="136"/>
    </font>
    <font>
      <sz val="13"/>
      <name val="Arial Narrow"/>
      <family val="2"/>
    </font>
    <font>
      <sz val="8.6"/>
      <name val="Arial Narrow"/>
      <family val="2"/>
    </font>
    <font>
      <sz val="9.5"/>
      <name val="Arial Narrow"/>
      <family val="2"/>
    </font>
    <font>
      <sz val="9.5"/>
      <name val="華康粗圓體"/>
      <family val="3"/>
      <charset val="136"/>
    </font>
    <font>
      <sz val="8"/>
      <name val="Arial Narrow"/>
      <family val="2"/>
    </font>
    <font>
      <sz val="8"/>
      <name val="華康粗圓體"/>
      <family val="3"/>
      <charset val="136"/>
    </font>
    <font>
      <sz val="10"/>
      <color indexed="9"/>
      <name val="華康粗圓體"/>
      <family val="3"/>
      <charset val="136"/>
    </font>
    <font>
      <sz val="9"/>
      <color indexed="9"/>
      <name val="華康粗圓體"/>
      <family val="3"/>
      <charset val="136"/>
    </font>
    <font>
      <sz val="20"/>
      <name val="Arial Narrow"/>
      <family val="2"/>
    </font>
    <font>
      <b/>
      <sz val="14"/>
      <color indexed="10"/>
      <name val="Arial Narrow"/>
      <family val="2"/>
    </font>
    <font>
      <b/>
      <sz val="18"/>
      <color indexed="10"/>
      <name val="Arial Narrow"/>
      <family val="2"/>
    </font>
    <font>
      <b/>
      <sz val="14"/>
      <color indexed="10"/>
      <name val="華康粗圓體"/>
      <family val="3"/>
      <charset val="136"/>
    </font>
    <font>
      <b/>
      <sz val="11"/>
      <color indexed="10"/>
      <name val="華康粗圓體"/>
      <family val="3"/>
      <charset val="136"/>
    </font>
    <font>
      <b/>
      <sz val="18"/>
      <color indexed="10"/>
      <name val="華康粗圓體"/>
      <family val="3"/>
      <charset val="136"/>
    </font>
    <font>
      <b/>
      <sz val="9"/>
      <color indexed="10"/>
      <name val="華康粗圓體"/>
      <family val="3"/>
      <charset val="136"/>
    </font>
    <font>
      <b/>
      <sz val="9"/>
      <color indexed="10"/>
      <name val="Arial Narrow"/>
      <family val="2"/>
    </font>
    <font>
      <sz val="12"/>
      <color theme="1"/>
      <name val="新細明體"/>
      <family val="1"/>
      <charset val="136"/>
      <scheme val="minor"/>
    </font>
    <font>
      <sz val="12"/>
      <color theme="0"/>
      <name val="新細明體"/>
      <family val="1"/>
      <charset val="136"/>
      <scheme val="minor"/>
    </font>
    <font>
      <sz val="12"/>
      <color rgb="FF9C6500"/>
      <name val="新細明體"/>
      <family val="1"/>
      <charset val="136"/>
      <scheme val="minor"/>
    </font>
    <font>
      <b/>
      <sz val="12"/>
      <color theme="1"/>
      <name val="新細明體"/>
      <family val="1"/>
      <charset val="136"/>
      <scheme val="minor"/>
    </font>
    <font>
      <sz val="12"/>
      <color rgb="FF006100"/>
      <name val="新細明體"/>
      <family val="1"/>
      <charset val="136"/>
      <scheme val="minor"/>
    </font>
    <font>
      <b/>
      <sz val="12"/>
      <color rgb="FFFA7D00"/>
      <name val="新細明體"/>
      <family val="1"/>
      <charset val="136"/>
      <scheme val="minor"/>
    </font>
    <font>
      <sz val="12"/>
      <color rgb="FFFA7D00"/>
      <name val="新細明體"/>
      <family val="1"/>
      <charset val="136"/>
      <scheme val="minor"/>
    </font>
    <font>
      <i/>
      <sz val="12"/>
      <color rgb="FF7F7F7F"/>
      <name val="新細明體"/>
      <family val="1"/>
      <charset val="136"/>
      <scheme val="minor"/>
    </font>
    <font>
      <b/>
      <sz val="18"/>
      <color theme="3"/>
      <name val="新細明體"/>
      <family val="1"/>
      <charset val="136"/>
      <scheme val="major"/>
    </font>
    <font>
      <b/>
      <sz val="15"/>
      <color theme="3"/>
      <name val="新細明體"/>
      <family val="1"/>
      <charset val="136"/>
      <scheme val="minor"/>
    </font>
    <font>
      <b/>
      <sz val="13"/>
      <color theme="3"/>
      <name val="新細明體"/>
      <family val="1"/>
      <charset val="136"/>
      <scheme val="minor"/>
    </font>
    <font>
      <b/>
      <sz val="11"/>
      <color theme="3"/>
      <name val="新細明體"/>
      <family val="1"/>
      <charset val="136"/>
      <scheme val="minor"/>
    </font>
    <font>
      <sz val="12"/>
      <color rgb="FF3F3F76"/>
      <name val="新細明體"/>
      <family val="1"/>
      <charset val="136"/>
      <scheme val="minor"/>
    </font>
    <font>
      <b/>
      <sz val="12"/>
      <color rgb="FF3F3F3F"/>
      <name val="新細明體"/>
      <family val="1"/>
      <charset val="136"/>
      <scheme val="minor"/>
    </font>
    <font>
      <b/>
      <sz val="12"/>
      <color theme="0"/>
      <name val="新細明體"/>
      <family val="1"/>
      <charset val="136"/>
      <scheme val="minor"/>
    </font>
    <font>
      <sz val="12"/>
      <color rgb="FF9C0006"/>
      <name val="新細明體"/>
      <family val="1"/>
      <charset val="136"/>
      <scheme val="minor"/>
    </font>
    <font>
      <sz val="12"/>
      <color rgb="FFFF0000"/>
      <name val="新細明體"/>
      <family val="1"/>
      <charset val="136"/>
      <scheme val="minor"/>
    </font>
    <font>
      <b/>
      <sz val="12"/>
      <color theme="3" tint="-0.499984740745262"/>
      <name val="Arial Narrow"/>
      <family val="2"/>
    </font>
    <font>
      <sz val="14"/>
      <color rgb="FFFF0000"/>
      <name val="Arial Narrow"/>
      <family val="2"/>
    </font>
    <font>
      <b/>
      <sz val="18"/>
      <color rgb="FFFF0000"/>
      <name val="Arial Narrow"/>
      <family val="2"/>
    </font>
    <font>
      <sz val="10"/>
      <color theme="1"/>
      <name val="Arial Narrow"/>
      <family val="2"/>
    </font>
    <font>
      <sz val="10"/>
      <color theme="0"/>
      <name val="Arial Narrow"/>
      <family val="2"/>
    </font>
    <font>
      <b/>
      <sz val="11"/>
      <color rgb="FFFF0000"/>
      <name val="Arial Narrow"/>
      <family val="2"/>
    </font>
    <font>
      <b/>
      <sz val="9"/>
      <color rgb="FFFF0000"/>
      <name val="Arial Narrow"/>
      <family val="2"/>
    </font>
    <font>
      <sz val="12"/>
      <color indexed="9"/>
      <name val="新細明體"/>
      <family val="1"/>
      <charset val="136"/>
    </font>
    <font>
      <b/>
      <sz val="12"/>
      <color indexed="8"/>
      <name val="新細明體"/>
      <family val="1"/>
      <charset val="136"/>
    </font>
    <font>
      <sz val="12"/>
      <color indexed="17"/>
      <name val="新細明體"/>
      <family val="1"/>
      <charset val="136"/>
    </font>
    <font>
      <b/>
      <sz val="12"/>
      <color indexed="52"/>
      <name val="新細明體"/>
      <family val="1"/>
      <charset val="136"/>
    </font>
    <font>
      <sz val="12"/>
      <color indexed="52"/>
      <name val="新細明體"/>
      <family val="1"/>
      <charset val="136"/>
    </font>
    <font>
      <b/>
      <sz val="12"/>
      <color indexed="9"/>
      <name val="新細明體"/>
      <family val="1"/>
      <charset val="136"/>
    </font>
    <font>
      <sz val="12"/>
      <color indexed="20"/>
      <name val="新細明體"/>
      <family val="1"/>
      <charset val="136"/>
    </font>
    <font>
      <sz val="10"/>
      <name val="Segoe UI Symbol"/>
      <family val="3"/>
    </font>
    <font>
      <sz val="10"/>
      <name val="Segoe UI Symbol"/>
      <family val="2"/>
    </font>
    <font>
      <sz val="9"/>
      <color theme="0"/>
      <name val="華康粗圓體"/>
      <family val="3"/>
      <charset val="136"/>
    </font>
    <font>
      <sz val="9"/>
      <color theme="0"/>
      <name val="Arial Narrow"/>
      <family val="2"/>
    </font>
    <font>
      <sz val="9"/>
      <name val="Segoe UI Symbol"/>
      <family val="3"/>
    </font>
    <font>
      <sz val="12"/>
      <color theme="1"/>
      <name val="Arial Narrow"/>
      <family val="2"/>
    </font>
    <font>
      <sz val="10"/>
      <name val="Arial Narrow"/>
      <family val="3"/>
      <charset val="136"/>
    </font>
  </fonts>
  <fills count="44">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rgb="FFFFEB9C"/>
      </patternFill>
    </fill>
    <fill>
      <patternFill patternType="solid">
        <fgColor rgb="FFC6EFCE"/>
      </patternFill>
    </fill>
    <fill>
      <patternFill patternType="solid">
        <fgColor rgb="FFF2F2F2"/>
      </patternFill>
    </fill>
    <fill>
      <patternFill patternType="solid">
        <fgColor rgb="FFFFFFCC"/>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C99"/>
      </patternFill>
    </fill>
    <fill>
      <patternFill patternType="solid">
        <fgColor rgb="FFA5A5A5"/>
      </patternFill>
    </fill>
    <fill>
      <patternFill patternType="solid">
        <fgColor rgb="FFFFC7CE"/>
      </patternFill>
    </fill>
    <fill>
      <patternFill patternType="solid">
        <fgColor rgb="FFFFFF00"/>
        <bgColor indexed="64"/>
      </patternFill>
    </fill>
    <fill>
      <patternFill patternType="solid">
        <fgColor theme="3" tint="0.59999389629810485"/>
        <bgColor indexed="64"/>
      </patternFill>
    </fill>
    <fill>
      <patternFill patternType="solid">
        <fgColor theme="8" tint="0.59999389629810485"/>
        <bgColor indexed="64"/>
      </patternFill>
    </fill>
    <fill>
      <patternFill patternType="solid">
        <fgColor theme="4" tint="0.59999389629810485"/>
        <bgColor indexed="64"/>
      </patternFill>
    </fill>
    <fill>
      <patternFill patternType="solid">
        <fgColor theme="8" tint="0.39997558519241921"/>
        <bgColor indexed="64"/>
      </patternFill>
    </fill>
    <fill>
      <patternFill patternType="solid">
        <fgColor indexed="42"/>
      </patternFill>
    </fill>
    <fill>
      <patternFill patternType="solid">
        <fgColor indexed="45"/>
      </patternFill>
    </fill>
    <fill>
      <patternFill patternType="solid">
        <fgColor indexed="29"/>
      </patternFill>
    </fill>
    <fill>
      <patternFill patternType="solid">
        <fgColor indexed="22"/>
      </patternFill>
    </fill>
    <fill>
      <patternFill patternType="solid">
        <fgColor indexed="10"/>
      </patternFill>
    </fill>
    <fill>
      <patternFill patternType="solid">
        <fgColor indexed="55"/>
      </patternFill>
    </fill>
  </fills>
  <borders count="61">
    <border>
      <left/>
      <right/>
      <top/>
      <bottom/>
      <diagonal/>
    </border>
    <border>
      <left/>
      <right style="thin">
        <color indexed="64"/>
      </right>
      <top/>
      <bottom/>
      <diagonal/>
    </border>
    <border>
      <left/>
      <right/>
      <top/>
      <bottom style="medium">
        <color indexed="64"/>
      </bottom>
      <diagonal/>
    </border>
    <border>
      <left/>
      <right style="medium">
        <color indexed="64"/>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style="medium">
        <color indexed="64"/>
      </bottom>
      <diagonal/>
    </border>
    <border>
      <left style="medium">
        <color indexed="64"/>
      </left>
      <right/>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right/>
      <top style="medium">
        <color indexed="64"/>
      </top>
      <bottom/>
      <diagonal/>
    </border>
    <border>
      <left style="thin">
        <color indexed="64"/>
      </left>
      <right/>
      <top/>
      <bottom/>
      <diagonal/>
    </border>
    <border>
      <left style="medium">
        <color indexed="64"/>
      </left>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bottom/>
      <diagonal/>
    </border>
    <border>
      <left/>
      <right/>
      <top style="thin">
        <color indexed="64"/>
      </top>
      <bottom/>
      <diagonal/>
    </border>
    <border>
      <left style="thin">
        <color indexed="64"/>
      </left>
      <right style="thin">
        <color indexed="64"/>
      </right>
      <top/>
      <bottom style="thin">
        <color indexed="64"/>
      </bottom>
      <diagonal/>
    </border>
    <border>
      <left/>
      <right style="medium">
        <color indexed="64"/>
      </right>
      <top style="medium">
        <color indexed="64"/>
      </top>
      <bottom/>
      <diagonal/>
    </border>
    <border>
      <left style="medium">
        <color indexed="64"/>
      </left>
      <right/>
      <top style="thin">
        <color indexed="64"/>
      </top>
      <bottom/>
      <diagonal/>
    </border>
    <border>
      <left style="medium">
        <color indexed="64"/>
      </left>
      <right style="thin">
        <color indexed="64"/>
      </right>
      <top/>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top style="medium">
        <color indexed="64"/>
      </top>
      <bottom style="thin">
        <color indexed="64"/>
      </bottom>
      <diagonal/>
    </border>
    <border>
      <left style="double">
        <color indexed="64"/>
      </left>
      <right style="thin">
        <color indexed="64"/>
      </right>
      <top/>
      <bottom style="medium">
        <color indexed="64"/>
      </bottom>
      <diagonal/>
    </border>
    <border>
      <left style="double">
        <color indexed="64"/>
      </left>
      <right style="thin">
        <color indexed="64"/>
      </right>
      <top style="thin">
        <color indexed="64"/>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double">
        <color indexed="64"/>
      </left>
      <right/>
      <top/>
      <bottom style="thin">
        <color indexed="64"/>
      </bottom>
      <diagonal/>
    </border>
    <border>
      <left style="double">
        <color indexed="64"/>
      </left>
      <right/>
      <top style="medium">
        <color indexed="64"/>
      </top>
      <bottom/>
      <diagonal/>
    </border>
    <border>
      <left style="double">
        <color indexed="64"/>
      </left>
      <right/>
      <top/>
      <bottom/>
      <diagonal/>
    </border>
    <border>
      <left/>
      <right/>
      <top style="thin">
        <color theme="4"/>
      </top>
      <bottom style="double">
        <color theme="4"/>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s>
  <cellStyleXfs count="222">
    <xf numFmtId="0" fontId="0" fillId="0" borderId="0">
      <alignment vertical="center"/>
    </xf>
    <xf numFmtId="0" fontId="47" fillId="2" borderId="0" applyNumberFormat="0" applyBorder="0" applyAlignment="0" applyProtection="0">
      <alignment vertical="center"/>
    </xf>
    <xf numFmtId="0" fontId="47" fillId="2" borderId="0" applyNumberFormat="0" applyBorder="0" applyAlignment="0" applyProtection="0">
      <alignment vertical="center"/>
    </xf>
    <xf numFmtId="0" fontId="47" fillId="2" borderId="0" applyNumberFormat="0" applyBorder="0" applyAlignment="0" applyProtection="0">
      <alignment vertical="center"/>
    </xf>
    <xf numFmtId="0" fontId="47" fillId="2" borderId="0" applyNumberFormat="0" applyBorder="0" applyAlignment="0" applyProtection="0">
      <alignment vertical="center"/>
    </xf>
    <xf numFmtId="0" fontId="47" fillId="3" borderId="0" applyNumberFormat="0" applyBorder="0" applyAlignment="0" applyProtection="0">
      <alignment vertical="center"/>
    </xf>
    <xf numFmtId="0" fontId="47" fillId="3" borderId="0" applyNumberFormat="0" applyBorder="0" applyAlignment="0" applyProtection="0">
      <alignment vertical="center"/>
    </xf>
    <xf numFmtId="0" fontId="47" fillId="3" borderId="0" applyNumberFormat="0" applyBorder="0" applyAlignment="0" applyProtection="0">
      <alignment vertical="center"/>
    </xf>
    <xf numFmtId="0" fontId="47" fillId="3" borderId="0" applyNumberFormat="0" applyBorder="0" applyAlignment="0" applyProtection="0">
      <alignment vertical="center"/>
    </xf>
    <xf numFmtId="0" fontId="47" fillId="4" borderId="0" applyNumberFormat="0" applyBorder="0" applyAlignment="0" applyProtection="0">
      <alignment vertical="center"/>
    </xf>
    <xf numFmtId="0" fontId="47" fillId="4" borderId="0" applyNumberFormat="0" applyBorder="0" applyAlignment="0" applyProtection="0">
      <alignment vertical="center"/>
    </xf>
    <xf numFmtId="0" fontId="47" fillId="4" borderId="0" applyNumberFormat="0" applyBorder="0" applyAlignment="0" applyProtection="0">
      <alignment vertical="center"/>
    </xf>
    <xf numFmtId="0" fontId="47" fillId="4" borderId="0" applyNumberFormat="0" applyBorder="0" applyAlignment="0" applyProtection="0">
      <alignment vertical="center"/>
    </xf>
    <xf numFmtId="0" fontId="47" fillId="5" borderId="0" applyNumberFormat="0" applyBorder="0" applyAlignment="0" applyProtection="0">
      <alignment vertical="center"/>
    </xf>
    <xf numFmtId="0" fontId="47" fillId="5" borderId="0" applyNumberFormat="0" applyBorder="0" applyAlignment="0" applyProtection="0">
      <alignment vertical="center"/>
    </xf>
    <xf numFmtId="0" fontId="47" fillId="5" borderId="0" applyNumberFormat="0" applyBorder="0" applyAlignment="0" applyProtection="0">
      <alignment vertical="center"/>
    </xf>
    <xf numFmtId="0" fontId="47" fillId="5" borderId="0" applyNumberFormat="0" applyBorder="0" applyAlignment="0" applyProtection="0">
      <alignment vertical="center"/>
    </xf>
    <xf numFmtId="0" fontId="47" fillId="6" borderId="0" applyNumberFormat="0" applyBorder="0" applyAlignment="0" applyProtection="0">
      <alignment vertical="center"/>
    </xf>
    <xf numFmtId="0" fontId="47" fillId="6" borderId="0" applyNumberFormat="0" applyBorder="0" applyAlignment="0" applyProtection="0">
      <alignment vertical="center"/>
    </xf>
    <xf numFmtId="0" fontId="47" fillId="6" borderId="0" applyNumberFormat="0" applyBorder="0" applyAlignment="0" applyProtection="0">
      <alignment vertical="center"/>
    </xf>
    <xf numFmtId="0" fontId="47" fillId="6" borderId="0" applyNumberFormat="0" applyBorder="0" applyAlignment="0" applyProtection="0">
      <alignment vertical="center"/>
    </xf>
    <xf numFmtId="0" fontId="47" fillId="7" borderId="0" applyNumberFormat="0" applyBorder="0" applyAlignment="0" applyProtection="0">
      <alignment vertical="center"/>
    </xf>
    <xf numFmtId="0" fontId="47" fillId="7" borderId="0" applyNumberFormat="0" applyBorder="0" applyAlignment="0" applyProtection="0">
      <alignment vertical="center"/>
    </xf>
    <xf numFmtId="0" fontId="47" fillId="7" borderId="0" applyNumberFormat="0" applyBorder="0" applyAlignment="0" applyProtection="0">
      <alignment vertical="center"/>
    </xf>
    <xf numFmtId="0" fontId="47" fillId="7" borderId="0" applyNumberFormat="0" applyBorder="0" applyAlignment="0" applyProtection="0">
      <alignment vertical="center"/>
    </xf>
    <xf numFmtId="0" fontId="47" fillId="8" borderId="0" applyNumberFormat="0" applyBorder="0" applyAlignment="0" applyProtection="0">
      <alignment vertical="center"/>
    </xf>
    <xf numFmtId="0" fontId="47" fillId="8" borderId="0" applyNumberFormat="0" applyBorder="0" applyAlignment="0" applyProtection="0">
      <alignment vertical="center"/>
    </xf>
    <xf numFmtId="0" fontId="47" fillId="8" borderId="0" applyNumberFormat="0" applyBorder="0" applyAlignment="0" applyProtection="0">
      <alignment vertical="center"/>
    </xf>
    <xf numFmtId="0" fontId="47" fillId="8" borderId="0" applyNumberFormat="0" applyBorder="0" applyAlignment="0" applyProtection="0">
      <alignment vertical="center"/>
    </xf>
    <xf numFmtId="0" fontId="47" fillId="9" borderId="0" applyNumberFormat="0" applyBorder="0" applyAlignment="0" applyProtection="0">
      <alignment vertical="center"/>
    </xf>
    <xf numFmtId="0" fontId="47" fillId="9" borderId="0" applyNumberFormat="0" applyBorder="0" applyAlignment="0" applyProtection="0">
      <alignment vertical="center"/>
    </xf>
    <xf numFmtId="0" fontId="47" fillId="9" borderId="0" applyNumberFormat="0" applyBorder="0" applyAlignment="0" applyProtection="0">
      <alignment vertical="center"/>
    </xf>
    <xf numFmtId="0" fontId="47" fillId="9" borderId="0" applyNumberFormat="0" applyBorder="0" applyAlignment="0" applyProtection="0">
      <alignment vertical="center"/>
    </xf>
    <xf numFmtId="0" fontId="47" fillId="10" borderId="0" applyNumberFormat="0" applyBorder="0" applyAlignment="0" applyProtection="0">
      <alignment vertical="center"/>
    </xf>
    <xf numFmtId="0" fontId="47" fillId="10" borderId="0" applyNumberFormat="0" applyBorder="0" applyAlignment="0" applyProtection="0">
      <alignment vertical="center"/>
    </xf>
    <xf numFmtId="0" fontId="47" fillId="10" borderId="0" applyNumberFormat="0" applyBorder="0" applyAlignment="0" applyProtection="0">
      <alignment vertical="center"/>
    </xf>
    <xf numFmtId="0" fontId="47" fillId="10" borderId="0" applyNumberFormat="0" applyBorder="0" applyAlignment="0" applyProtection="0">
      <alignment vertical="center"/>
    </xf>
    <xf numFmtId="0" fontId="47" fillId="11" borderId="0" applyNumberFormat="0" applyBorder="0" applyAlignment="0" applyProtection="0">
      <alignment vertical="center"/>
    </xf>
    <xf numFmtId="0" fontId="47" fillId="11" borderId="0" applyNumberFormat="0" applyBorder="0" applyAlignment="0" applyProtection="0">
      <alignment vertical="center"/>
    </xf>
    <xf numFmtId="0" fontId="47" fillId="11" borderId="0" applyNumberFormat="0" applyBorder="0" applyAlignment="0" applyProtection="0">
      <alignment vertical="center"/>
    </xf>
    <xf numFmtId="0" fontId="47" fillId="11" borderId="0" applyNumberFormat="0" applyBorder="0" applyAlignment="0" applyProtection="0">
      <alignment vertical="center"/>
    </xf>
    <xf numFmtId="0" fontId="47" fillId="12" borderId="0" applyNumberFormat="0" applyBorder="0" applyAlignment="0" applyProtection="0">
      <alignment vertical="center"/>
    </xf>
    <xf numFmtId="0" fontId="47" fillId="12" borderId="0" applyNumberFormat="0" applyBorder="0" applyAlignment="0" applyProtection="0">
      <alignment vertical="center"/>
    </xf>
    <xf numFmtId="0" fontId="47" fillId="12" borderId="0" applyNumberFormat="0" applyBorder="0" applyAlignment="0" applyProtection="0">
      <alignment vertical="center"/>
    </xf>
    <xf numFmtId="0" fontId="47" fillId="12" borderId="0" applyNumberFormat="0" applyBorder="0" applyAlignment="0" applyProtection="0">
      <alignment vertical="center"/>
    </xf>
    <xf numFmtId="0" fontId="47" fillId="13" borderId="0" applyNumberFormat="0" applyBorder="0" applyAlignment="0" applyProtection="0">
      <alignment vertical="center"/>
    </xf>
    <xf numFmtId="0" fontId="47" fillId="13" borderId="0" applyNumberFormat="0" applyBorder="0" applyAlignment="0" applyProtection="0">
      <alignment vertical="center"/>
    </xf>
    <xf numFmtId="0" fontId="47" fillId="13" borderId="0" applyNumberFormat="0" applyBorder="0" applyAlignment="0" applyProtection="0">
      <alignment vertical="center"/>
    </xf>
    <xf numFmtId="0" fontId="47" fillId="13" borderId="0" applyNumberFormat="0" applyBorder="0" applyAlignment="0" applyProtection="0">
      <alignment vertical="center"/>
    </xf>
    <xf numFmtId="0" fontId="48" fillId="14" borderId="0" applyNumberFormat="0" applyBorder="0" applyAlignment="0" applyProtection="0">
      <alignment vertical="center"/>
    </xf>
    <xf numFmtId="0" fontId="48" fillId="14" borderId="0" applyNumberFormat="0" applyBorder="0" applyAlignment="0" applyProtection="0">
      <alignment vertical="center"/>
    </xf>
    <xf numFmtId="0" fontId="48" fillId="14" borderId="0" applyNumberFormat="0" applyBorder="0" applyAlignment="0" applyProtection="0">
      <alignment vertical="center"/>
    </xf>
    <xf numFmtId="0" fontId="48" fillId="14" borderId="0" applyNumberFormat="0" applyBorder="0" applyAlignment="0" applyProtection="0">
      <alignment vertical="center"/>
    </xf>
    <xf numFmtId="0" fontId="48" fillId="15" borderId="0" applyNumberFormat="0" applyBorder="0" applyAlignment="0" applyProtection="0">
      <alignment vertical="center"/>
    </xf>
    <xf numFmtId="0" fontId="48" fillId="15" borderId="0" applyNumberFormat="0" applyBorder="0" applyAlignment="0" applyProtection="0">
      <alignment vertical="center"/>
    </xf>
    <xf numFmtId="0" fontId="48" fillId="15" borderId="0" applyNumberFormat="0" applyBorder="0" applyAlignment="0" applyProtection="0">
      <alignment vertical="center"/>
    </xf>
    <xf numFmtId="0" fontId="48" fillId="15" borderId="0" applyNumberFormat="0" applyBorder="0" applyAlignment="0" applyProtection="0">
      <alignment vertical="center"/>
    </xf>
    <xf numFmtId="0" fontId="48" fillId="16" borderId="0" applyNumberFormat="0" applyBorder="0" applyAlignment="0" applyProtection="0">
      <alignment vertical="center"/>
    </xf>
    <xf numFmtId="0" fontId="48" fillId="16" borderId="0" applyNumberFormat="0" applyBorder="0" applyAlignment="0" applyProtection="0">
      <alignment vertical="center"/>
    </xf>
    <xf numFmtId="0" fontId="48" fillId="16" borderId="0" applyNumberFormat="0" applyBorder="0" applyAlignment="0" applyProtection="0">
      <alignment vertical="center"/>
    </xf>
    <xf numFmtId="0" fontId="48" fillId="16" borderId="0" applyNumberFormat="0" applyBorder="0" applyAlignment="0" applyProtection="0">
      <alignment vertical="center"/>
    </xf>
    <xf numFmtId="0" fontId="48" fillId="17" borderId="0" applyNumberFormat="0" applyBorder="0" applyAlignment="0" applyProtection="0">
      <alignment vertical="center"/>
    </xf>
    <xf numFmtId="0" fontId="48" fillId="17" borderId="0" applyNumberFormat="0" applyBorder="0" applyAlignment="0" applyProtection="0">
      <alignment vertical="center"/>
    </xf>
    <xf numFmtId="0" fontId="48" fillId="17" borderId="0" applyNumberFormat="0" applyBorder="0" applyAlignment="0" applyProtection="0">
      <alignment vertical="center"/>
    </xf>
    <xf numFmtId="0" fontId="48" fillId="17" borderId="0" applyNumberFormat="0" applyBorder="0" applyAlignment="0" applyProtection="0">
      <alignment vertical="center"/>
    </xf>
    <xf numFmtId="0" fontId="48" fillId="18" borderId="0" applyNumberFormat="0" applyBorder="0" applyAlignment="0" applyProtection="0">
      <alignment vertical="center"/>
    </xf>
    <xf numFmtId="0" fontId="48" fillId="18" borderId="0" applyNumberFormat="0" applyBorder="0" applyAlignment="0" applyProtection="0">
      <alignment vertical="center"/>
    </xf>
    <xf numFmtId="0" fontId="48" fillId="18" borderId="0" applyNumberFormat="0" applyBorder="0" applyAlignment="0" applyProtection="0">
      <alignment vertical="center"/>
    </xf>
    <xf numFmtId="0" fontId="48" fillId="18" borderId="0" applyNumberFormat="0" applyBorder="0" applyAlignment="0" applyProtection="0">
      <alignment vertical="center"/>
    </xf>
    <xf numFmtId="0" fontId="48" fillId="19" borderId="0" applyNumberFormat="0" applyBorder="0" applyAlignment="0" applyProtection="0">
      <alignment vertical="center"/>
    </xf>
    <xf numFmtId="0" fontId="48" fillId="19" borderId="0" applyNumberFormat="0" applyBorder="0" applyAlignment="0" applyProtection="0">
      <alignment vertical="center"/>
    </xf>
    <xf numFmtId="0" fontId="48" fillId="19" borderId="0" applyNumberFormat="0" applyBorder="0" applyAlignment="0" applyProtection="0">
      <alignment vertical="center"/>
    </xf>
    <xf numFmtId="0" fontId="48" fillId="19" borderId="0" applyNumberFormat="0" applyBorder="0" applyAlignment="0" applyProtection="0">
      <alignment vertical="center"/>
    </xf>
    <xf numFmtId="0" fontId="20" fillId="0" borderId="0" applyNumberFormat="0" applyFont="0" applyBorder="0" applyAlignment="0"/>
    <xf numFmtId="0" fontId="1" fillId="0" borderId="0">
      <alignment vertical="center"/>
    </xf>
    <xf numFmtId="0" fontId="47"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7" fillId="0" borderId="0">
      <alignment vertical="center"/>
    </xf>
    <xf numFmtId="0" fontId="1" fillId="0" borderId="0"/>
    <xf numFmtId="0" fontId="47" fillId="0" borderId="0">
      <alignment vertical="center"/>
    </xf>
    <xf numFmtId="0" fontId="1" fillId="0" borderId="0"/>
    <xf numFmtId="0" fontId="47" fillId="0" borderId="0">
      <alignment vertical="center"/>
    </xf>
    <xf numFmtId="0" fontId="1" fillId="0" borderId="0"/>
    <xf numFmtId="0" fontId="1" fillId="0" borderId="0"/>
    <xf numFmtId="0" fontId="47" fillId="0" borderId="0">
      <alignment vertical="center"/>
    </xf>
    <xf numFmtId="0" fontId="1" fillId="0" borderId="0"/>
    <xf numFmtId="0" fontId="47" fillId="0" borderId="0">
      <alignment vertical="center"/>
    </xf>
    <xf numFmtId="0" fontId="9" fillId="0" borderId="0"/>
    <xf numFmtId="0" fontId="47" fillId="0" borderId="0">
      <alignment vertical="center"/>
    </xf>
    <xf numFmtId="0" fontId="13" fillId="0" borderId="0"/>
    <xf numFmtId="0" fontId="1" fillId="0" borderId="0">
      <alignment vertical="center"/>
    </xf>
    <xf numFmtId="0" fontId="1" fillId="0" borderId="0"/>
    <xf numFmtId="0" fontId="1" fillId="0" borderId="0"/>
    <xf numFmtId="0" fontId="9" fillId="0" borderId="0"/>
    <xf numFmtId="0" fontId="1" fillId="0" borderId="0"/>
    <xf numFmtId="0" fontId="1" fillId="0" borderId="0"/>
    <xf numFmtId="0" fontId="1" fillId="0" borderId="0"/>
    <xf numFmtId="0" fontId="13" fillId="0" borderId="0"/>
    <xf numFmtId="0" fontId="1" fillId="0" borderId="0">
      <alignment vertical="center"/>
    </xf>
    <xf numFmtId="43" fontId="1" fillId="0" borderId="0" applyFont="0" applyFill="0" applyBorder="0" applyAlignment="0" applyProtection="0">
      <alignment vertical="center"/>
    </xf>
    <xf numFmtId="43" fontId="1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alignment vertical="center"/>
    </xf>
    <xf numFmtId="43" fontId="1" fillId="0" borderId="0" applyFont="0" applyFill="0" applyBorder="0" applyAlignment="0" applyProtection="0"/>
    <xf numFmtId="179" fontId="9" fillId="0" borderId="0" applyFont="0" applyFill="0" applyBorder="0" applyAlignment="0" applyProtection="0"/>
    <xf numFmtId="41" fontId="1" fillId="0" borderId="0" applyFont="0" applyFill="0" applyBorder="0" applyAlignment="0" applyProtection="0"/>
    <xf numFmtId="41" fontId="13" fillId="0" borderId="0" applyFont="0" applyFill="0" applyBorder="0" applyAlignment="0" applyProtection="0"/>
    <xf numFmtId="41" fontId="1" fillId="0" borderId="0" applyFont="0" applyFill="0" applyBorder="0" applyAlignment="0" applyProtection="0">
      <alignment vertical="center"/>
    </xf>
    <xf numFmtId="41" fontId="1" fillId="0" borderId="0" applyFont="0" applyFill="0" applyBorder="0" applyAlignment="0" applyProtection="0"/>
    <xf numFmtId="0" fontId="49" fillId="20" borderId="0" applyNumberFormat="0" applyBorder="0" applyAlignment="0" applyProtection="0">
      <alignment vertical="center"/>
    </xf>
    <xf numFmtId="0" fontId="49" fillId="20" borderId="0" applyNumberFormat="0" applyBorder="0" applyAlignment="0" applyProtection="0">
      <alignment vertical="center"/>
    </xf>
    <xf numFmtId="0" fontId="49" fillId="20" borderId="0" applyNumberFormat="0" applyBorder="0" applyAlignment="0" applyProtection="0">
      <alignment vertical="center"/>
    </xf>
    <xf numFmtId="0" fontId="49" fillId="20" borderId="0" applyNumberFormat="0" applyBorder="0" applyAlignment="0" applyProtection="0">
      <alignment vertical="center"/>
    </xf>
    <xf numFmtId="0" fontId="50" fillId="0" borderId="48" applyNumberFormat="0" applyFill="0" applyAlignment="0" applyProtection="0">
      <alignment vertical="center"/>
    </xf>
    <xf numFmtId="0" fontId="50" fillId="0" borderId="48" applyNumberFormat="0" applyFill="0" applyAlignment="0" applyProtection="0">
      <alignment vertical="center"/>
    </xf>
    <xf numFmtId="0" fontId="50" fillId="0" borderId="48" applyNumberFormat="0" applyFill="0" applyAlignment="0" applyProtection="0">
      <alignment vertical="center"/>
    </xf>
    <xf numFmtId="0" fontId="50" fillId="0" borderId="48" applyNumberFormat="0" applyFill="0" applyAlignment="0" applyProtection="0">
      <alignment vertical="center"/>
    </xf>
    <xf numFmtId="0" fontId="51" fillId="21" borderId="0" applyNumberFormat="0" applyBorder="0" applyAlignment="0" applyProtection="0">
      <alignment vertical="center"/>
    </xf>
    <xf numFmtId="0" fontId="51" fillId="21" borderId="0" applyNumberFormat="0" applyBorder="0" applyAlignment="0" applyProtection="0">
      <alignment vertical="center"/>
    </xf>
    <xf numFmtId="0" fontId="51" fillId="21" borderId="0" applyNumberFormat="0" applyBorder="0" applyAlignment="0" applyProtection="0">
      <alignment vertical="center"/>
    </xf>
    <xf numFmtId="0" fontId="51" fillId="21" borderId="0" applyNumberFormat="0" applyBorder="0" applyAlignment="0" applyProtection="0">
      <alignment vertical="center"/>
    </xf>
    <xf numFmtId="0" fontId="21" fillId="0" borderId="1"/>
    <xf numFmtId="0" fontId="52" fillId="22" borderId="49" applyNumberFormat="0" applyAlignment="0" applyProtection="0">
      <alignment vertical="center"/>
    </xf>
    <xf numFmtId="0" fontId="52" fillId="22" borderId="49" applyNumberFormat="0" applyAlignment="0" applyProtection="0">
      <alignment vertical="center"/>
    </xf>
    <xf numFmtId="0" fontId="52" fillId="22" borderId="49" applyNumberFormat="0" applyAlignment="0" applyProtection="0">
      <alignment vertical="center"/>
    </xf>
    <xf numFmtId="0" fontId="52" fillId="22" borderId="49" applyNumberFormat="0" applyAlignment="0" applyProtection="0">
      <alignment vertical="center"/>
    </xf>
    <xf numFmtId="0" fontId="53" fillId="0" borderId="50" applyNumberFormat="0" applyFill="0" applyAlignment="0" applyProtection="0">
      <alignment vertical="center"/>
    </xf>
    <xf numFmtId="0" fontId="53" fillId="0" borderId="50" applyNumberFormat="0" applyFill="0" applyAlignment="0" applyProtection="0">
      <alignment vertical="center"/>
    </xf>
    <xf numFmtId="0" fontId="53" fillId="0" borderId="50" applyNumberFormat="0" applyFill="0" applyAlignment="0" applyProtection="0">
      <alignment vertical="center"/>
    </xf>
    <xf numFmtId="0" fontId="53" fillId="0" borderId="50" applyNumberFormat="0" applyFill="0" applyAlignment="0" applyProtection="0">
      <alignment vertical="center"/>
    </xf>
    <xf numFmtId="0" fontId="47" fillId="23" borderId="51" applyNumberFormat="0" applyFont="0" applyAlignment="0" applyProtection="0">
      <alignment vertical="center"/>
    </xf>
    <xf numFmtId="0" fontId="47" fillId="23" borderId="51" applyNumberFormat="0" applyFont="0" applyAlignment="0" applyProtection="0">
      <alignment vertical="center"/>
    </xf>
    <xf numFmtId="0" fontId="47" fillId="23" borderId="51" applyNumberFormat="0" applyFont="0" applyAlignment="0" applyProtection="0">
      <alignment vertical="center"/>
    </xf>
    <xf numFmtId="0" fontId="47" fillId="23" borderId="51" applyNumberFormat="0" applyFont="0" applyAlignment="0" applyProtection="0">
      <alignment vertical="center"/>
    </xf>
    <xf numFmtId="0" fontId="54"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48" fillId="24" borderId="0" applyNumberFormat="0" applyBorder="0" applyAlignment="0" applyProtection="0">
      <alignment vertical="center"/>
    </xf>
    <xf numFmtId="0" fontId="48" fillId="24" borderId="0" applyNumberFormat="0" applyBorder="0" applyAlignment="0" applyProtection="0">
      <alignment vertical="center"/>
    </xf>
    <xf numFmtId="0" fontId="48" fillId="24" borderId="0" applyNumberFormat="0" applyBorder="0" applyAlignment="0" applyProtection="0">
      <alignment vertical="center"/>
    </xf>
    <xf numFmtId="0" fontId="48" fillId="24" borderId="0" applyNumberFormat="0" applyBorder="0" applyAlignment="0" applyProtection="0">
      <alignment vertical="center"/>
    </xf>
    <xf numFmtId="0" fontId="48" fillId="25" borderId="0" applyNumberFormat="0" applyBorder="0" applyAlignment="0" applyProtection="0">
      <alignment vertical="center"/>
    </xf>
    <xf numFmtId="0" fontId="48" fillId="25" borderId="0" applyNumberFormat="0" applyBorder="0" applyAlignment="0" applyProtection="0">
      <alignment vertical="center"/>
    </xf>
    <xf numFmtId="0" fontId="48" fillId="25" borderId="0" applyNumberFormat="0" applyBorder="0" applyAlignment="0" applyProtection="0">
      <alignment vertical="center"/>
    </xf>
    <xf numFmtId="0" fontId="48" fillId="25" borderId="0" applyNumberFormat="0" applyBorder="0" applyAlignment="0" applyProtection="0">
      <alignment vertical="center"/>
    </xf>
    <xf numFmtId="0" fontId="48" fillId="26" borderId="0" applyNumberFormat="0" applyBorder="0" applyAlignment="0" applyProtection="0">
      <alignment vertical="center"/>
    </xf>
    <xf numFmtId="0" fontId="48" fillId="26" borderId="0" applyNumberFormat="0" applyBorder="0" applyAlignment="0" applyProtection="0">
      <alignment vertical="center"/>
    </xf>
    <xf numFmtId="0" fontId="48" fillId="26" borderId="0" applyNumberFormat="0" applyBorder="0" applyAlignment="0" applyProtection="0">
      <alignment vertical="center"/>
    </xf>
    <xf numFmtId="0" fontId="48" fillId="26" borderId="0" applyNumberFormat="0" applyBorder="0" applyAlignment="0" applyProtection="0">
      <alignment vertical="center"/>
    </xf>
    <xf numFmtId="0" fontId="48" fillId="27" borderId="0" applyNumberFormat="0" applyBorder="0" applyAlignment="0" applyProtection="0">
      <alignment vertical="center"/>
    </xf>
    <xf numFmtId="0" fontId="48" fillId="27" borderId="0" applyNumberFormat="0" applyBorder="0" applyAlignment="0" applyProtection="0">
      <alignment vertical="center"/>
    </xf>
    <xf numFmtId="0" fontId="48" fillId="27" borderId="0" applyNumberFormat="0" applyBorder="0" applyAlignment="0" applyProtection="0">
      <alignment vertical="center"/>
    </xf>
    <xf numFmtId="0" fontId="48" fillId="27" borderId="0" applyNumberFormat="0" applyBorder="0" applyAlignment="0" applyProtection="0">
      <alignment vertical="center"/>
    </xf>
    <xf numFmtId="0" fontId="48" fillId="28" borderId="0" applyNumberFormat="0" applyBorder="0" applyAlignment="0" applyProtection="0">
      <alignment vertical="center"/>
    </xf>
    <xf numFmtId="0" fontId="48" fillId="28" borderId="0" applyNumberFormat="0" applyBorder="0" applyAlignment="0" applyProtection="0">
      <alignment vertical="center"/>
    </xf>
    <xf numFmtId="0" fontId="48" fillId="28" borderId="0" applyNumberFormat="0" applyBorder="0" applyAlignment="0" applyProtection="0">
      <alignment vertical="center"/>
    </xf>
    <xf numFmtId="0" fontId="48" fillId="28" borderId="0" applyNumberFormat="0" applyBorder="0" applyAlignment="0" applyProtection="0">
      <alignment vertical="center"/>
    </xf>
    <xf numFmtId="0" fontId="48" fillId="29" borderId="0" applyNumberFormat="0" applyBorder="0" applyAlignment="0" applyProtection="0">
      <alignment vertical="center"/>
    </xf>
    <xf numFmtId="0" fontId="48" fillId="29" borderId="0" applyNumberFormat="0" applyBorder="0" applyAlignment="0" applyProtection="0">
      <alignment vertical="center"/>
    </xf>
    <xf numFmtId="0" fontId="48" fillId="29" borderId="0" applyNumberFormat="0" applyBorder="0" applyAlignment="0" applyProtection="0">
      <alignment vertical="center"/>
    </xf>
    <xf numFmtId="0" fontId="48" fillId="29" borderId="0" applyNumberFormat="0" applyBorder="0" applyAlignment="0" applyProtection="0">
      <alignment vertical="center"/>
    </xf>
    <xf numFmtId="0" fontId="56" fillId="0" borderId="52" applyNumberFormat="0" applyFill="0" applyAlignment="0" applyProtection="0">
      <alignment vertical="center"/>
    </xf>
    <xf numFmtId="0" fontId="56" fillId="0" borderId="52" applyNumberFormat="0" applyFill="0" applyAlignment="0" applyProtection="0">
      <alignment vertical="center"/>
    </xf>
    <xf numFmtId="0" fontId="56" fillId="0" borderId="52" applyNumberFormat="0" applyFill="0" applyAlignment="0" applyProtection="0">
      <alignment vertical="center"/>
    </xf>
    <xf numFmtId="0" fontId="56" fillId="0" borderId="52" applyNumberFormat="0" applyFill="0" applyAlignment="0" applyProtection="0">
      <alignment vertical="center"/>
    </xf>
    <xf numFmtId="0" fontId="57" fillId="0" borderId="53" applyNumberFormat="0" applyFill="0" applyAlignment="0" applyProtection="0">
      <alignment vertical="center"/>
    </xf>
    <xf numFmtId="0" fontId="57" fillId="0" borderId="53" applyNumberFormat="0" applyFill="0" applyAlignment="0" applyProtection="0">
      <alignment vertical="center"/>
    </xf>
    <xf numFmtId="0" fontId="57" fillId="0" borderId="53" applyNumberFormat="0" applyFill="0" applyAlignment="0" applyProtection="0">
      <alignment vertical="center"/>
    </xf>
    <xf numFmtId="0" fontId="57" fillId="0" borderId="53" applyNumberFormat="0" applyFill="0" applyAlignment="0" applyProtection="0">
      <alignment vertical="center"/>
    </xf>
    <xf numFmtId="0" fontId="58" fillId="0" borderId="54" applyNumberFormat="0" applyFill="0" applyAlignment="0" applyProtection="0">
      <alignment vertical="center"/>
    </xf>
    <xf numFmtId="0" fontId="58" fillId="0" borderId="54" applyNumberFormat="0" applyFill="0" applyAlignment="0" applyProtection="0">
      <alignment vertical="center"/>
    </xf>
    <xf numFmtId="0" fontId="58" fillId="0" borderId="54" applyNumberFormat="0" applyFill="0" applyAlignment="0" applyProtection="0">
      <alignment vertical="center"/>
    </xf>
    <xf numFmtId="0" fontId="58" fillId="0" borderId="54" applyNumberFormat="0" applyFill="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5" fillId="0" borderId="0" applyNumberFormat="0" applyFill="0" applyBorder="0" applyAlignment="0" applyProtection="0">
      <alignment vertical="center"/>
    </xf>
    <xf numFmtId="0" fontId="55" fillId="0" borderId="0" applyNumberFormat="0" applyFill="0" applyBorder="0" applyAlignment="0" applyProtection="0">
      <alignment vertical="center"/>
    </xf>
    <xf numFmtId="0" fontId="55" fillId="0" borderId="0" applyNumberFormat="0" applyFill="0" applyBorder="0" applyAlignment="0" applyProtection="0">
      <alignment vertical="center"/>
    </xf>
    <xf numFmtId="0" fontId="55" fillId="0" borderId="0" applyNumberFormat="0" applyFill="0" applyBorder="0" applyAlignment="0" applyProtection="0">
      <alignment vertical="center"/>
    </xf>
    <xf numFmtId="0" fontId="59" fillId="30" borderId="49" applyNumberFormat="0" applyAlignment="0" applyProtection="0">
      <alignment vertical="center"/>
    </xf>
    <xf numFmtId="0" fontId="59" fillId="30" borderId="49" applyNumberFormat="0" applyAlignment="0" applyProtection="0">
      <alignment vertical="center"/>
    </xf>
    <xf numFmtId="0" fontId="59" fillId="30" borderId="49" applyNumberFormat="0" applyAlignment="0" applyProtection="0">
      <alignment vertical="center"/>
    </xf>
    <xf numFmtId="0" fontId="59" fillId="30" borderId="49" applyNumberFormat="0" applyAlignment="0" applyProtection="0">
      <alignment vertical="center"/>
    </xf>
    <xf numFmtId="0" fontId="60" fillId="22" borderId="55" applyNumberFormat="0" applyAlignment="0" applyProtection="0">
      <alignment vertical="center"/>
    </xf>
    <xf numFmtId="0" fontId="60" fillId="22" borderId="55" applyNumberFormat="0" applyAlignment="0" applyProtection="0">
      <alignment vertical="center"/>
    </xf>
    <xf numFmtId="0" fontId="60" fillId="22" borderId="55" applyNumberFormat="0" applyAlignment="0" applyProtection="0">
      <alignment vertical="center"/>
    </xf>
    <xf numFmtId="0" fontId="60" fillId="22" borderId="55" applyNumberFormat="0" applyAlignment="0" applyProtection="0">
      <alignment vertical="center"/>
    </xf>
    <xf numFmtId="0" fontId="61" fillId="31" borderId="56" applyNumberFormat="0" applyAlignment="0" applyProtection="0">
      <alignment vertical="center"/>
    </xf>
    <xf numFmtId="0" fontId="61" fillId="31" borderId="56" applyNumberFormat="0" applyAlignment="0" applyProtection="0">
      <alignment vertical="center"/>
    </xf>
    <xf numFmtId="0" fontId="61" fillId="31" borderId="56" applyNumberFormat="0" applyAlignment="0" applyProtection="0">
      <alignment vertical="center"/>
    </xf>
    <xf numFmtId="0" fontId="61" fillId="31" borderId="56" applyNumberFormat="0" applyAlignment="0" applyProtection="0">
      <alignment vertical="center"/>
    </xf>
    <xf numFmtId="0" fontId="62" fillId="32" borderId="0" applyNumberFormat="0" applyBorder="0" applyAlignment="0" applyProtection="0">
      <alignment vertical="center"/>
    </xf>
    <xf numFmtId="0" fontId="62" fillId="32" borderId="0" applyNumberFormat="0" applyBorder="0" applyAlignment="0" applyProtection="0">
      <alignment vertical="center"/>
    </xf>
    <xf numFmtId="0" fontId="62" fillId="32" borderId="0" applyNumberFormat="0" applyBorder="0" applyAlignment="0" applyProtection="0">
      <alignment vertical="center"/>
    </xf>
    <xf numFmtId="0" fontId="62" fillId="32" borderId="0" applyNumberFormat="0" applyBorder="0" applyAlignment="0" applyProtection="0">
      <alignment vertical="center"/>
    </xf>
    <xf numFmtId="0" fontId="63" fillId="0" borderId="0" applyNumberFormat="0" applyFill="0" applyBorder="0" applyAlignment="0" applyProtection="0">
      <alignment vertical="center"/>
    </xf>
    <xf numFmtId="0" fontId="63" fillId="0" borderId="0" applyNumberFormat="0" applyFill="0" applyBorder="0" applyAlignment="0" applyProtection="0">
      <alignment vertical="center"/>
    </xf>
    <xf numFmtId="0" fontId="63" fillId="0" borderId="0" applyNumberFormat="0" applyFill="0" applyBorder="0" applyAlignment="0" applyProtection="0">
      <alignment vertical="center"/>
    </xf>
    <xf numFmtId="0" fontId="63" fillId="0" borderId="0" applyNumberFormat="0" applyFill="0" applyBorder="0" applyAlignment="0" applyProtection="0">
      <alignment vertical="center"/>
    </xf>
    <xf numFmtId="0" fontId="1" fillId="0" borderId="0"/>
    <xf numFmtId="0" fontId="1" fillId="0" borderId="0"/>
    <xf numFmtId="0" fontId="73" fillId="38" borderId="0" applyNumberFormat="0" applyBorder="0" applyAlignment="0" applyProtection="0">
      <alignment vertical="center"/>
    </xf>
    <xf numFmtId="0" fontId="77" fillId="39" borderId="0" applyNumberFormat="0" applyBorder="0" applyAlignment="0" applyProtection="0">
      <alignment vertical="center"/>
    </xf>
    <xf numFmtId="41" fontId="1" fillId="0" borderId="0" applyFont="0" applyFill="0" applyBorder="0" applyAlignment="0" applyProtection="0"/>
    <xf numFmtId="0" fontId="73" fillId="38" borderId="0" applyNumberFormat="0" applyBorder="0" applyAlignment="0" applyProtection="0">
      <alignment vertical="center"/>
    </xf>
    <xf numFmtId="0" fontId="72" fillId="0" borderId="57" applyNumberFormat="0" applyFill="0" applyAlignment="0" applyProtection="0">
      <alignment vertical="center"/>
    </xf>
    <xf numFmtId="0" fontId="71" fillId="42" borderId="0" applyNumberFormat="0" applyBorder="0" applyAlignment="0" applyProtection="0">
      <alignment vertical="center"/>
    </xf>
    <xf numFmtId="0" fontId="74" fillId="41" borderId="58" applyNumberFormat="0" applyAlignment="0" applyProtection="0">
      <alignment vertical="center"/>
    </xf>
    <xf numFmtId="0" fontId="76" fillId="43" borderId="60" applyNumberFormat="0" applyAlignment="0" applyProtection="0">
      <alignment vertical="center"/>
    </xf>
    <xf numFmtId="0" fontId="75" fillId="0" borderId="59" applyNumberFormat="0" applyFill="0" applyAlignment="0" applyProtection="0">
      <alignment vertical="center"/>
    </xf>
    <xf numFmtId="0" fontId="71" fillId="40" borderId="0" applyNumberFormat="0" applyBorder="0" applyAlignment="0" applyProtection="0">
      <alignment vertical="center"/>
    </xf>
    <xf numFmtId="0" fontId="77" fillId="39" borderId="0" applyNumberFormat="0" applyBorder="0" applyAlignment="0" applyProtection="0">
      <alignment vertical="center"/>
    </xf>
    <xf numFmtId="0" fontId="1" fillId="0" borderId="0"/>
  </cellStyleXfs>
  <cellXfs count="1030">
    <xf numFmtId="0" fontId="0" fillId="0" borderId="0" xfId="0">
      <alignment vertical="center"/>
    </xf>
    <xf numFmtId="0" fontId="22" fillId="0" borderId="0" xfId="100" applyFont="1" applyAlignment="1">
      <alignment horizontal="left" vertical="center"/>
    </xf>
    <xf numFmtId="0" fontId="22" fillId="0" borderId="0" xfId="0" applyFont="1">
      <alignment vertical="center"/>
    </xf>
    <xf numFmtId="0" fontId="22" fillId="0" borderId="0" xfId="0" applyFont="1" applyAlignment="1">
      <alignment horizontal="right" vertical="center"/>
    </xf>
    <xf numFmtId="3" fontId="22" fillId="0" borderId="0" xfId="100" applyNumberFormat="1" applyFont="1" applyBorder="1" applyAlignment="1">
      <alignment horizontal="right" vertical="center"/>
    </xf>
    <xf numFmtId="3" fontId="22" fillId="0" borderId="0" xfId="100" applyNumberFormat="1" applyFont="1" applyBorder="1" applyAlignment="1">
      <alignment vertical="center"/>
    </xf>
    <xf numFmtId="3" fontId="22" fillId="0" borderId="0" xfId="0" applyNumberFormat="1" applyFont="1">
      <alignment vertical="center"/>
    </xf>
    <xf numFmtId="3" fontId="22" fillId="0" borderId="0" xfId="0" applyNumberFormat="1" applyFont="1" applyBorder="1">
      <alignment vertical="center"/>
    </xf>
    <xf numFmtId="0" fontId="22" fillId="0" borderId="0" xfId="97" applyFont="1" applyAlignment="1">
      <alignment horizontal="center" vertical="center"/>
    </xf>
    <xf numFmtId="0" fontId="22" fillId="0" borderId="0" xfId="97" applyFont="1" applyAlignment="1">
      <alignment horizontal="right" vertical="center"/>
    </xf>
    <xf numFmtId="0" fontId="22" fillId="0" borderId="0" xfId="97" applyFont="1" applyBorder="1" applyAlignment="1">
      <alignment horizontal="center" vertical="center" wrapText="1"/>
    </xf>
    <xf numFmtId="0" fontId="22" fillId="0" borderId="0" xfId="97" applyFont="1" applyBorder="1" applyAlignment="1">
      <alignment horizontal="center" vertical="center"/>
    </xf>
    <xf numFmtId="0" fontId="22" fillId="0" borderId="4" xfId="97" applyFont="1" applyBorder="1" applyAlignment="1">
      <alignment horizontal="center" vertical="center" wrapText="1"/>
    </xf>
    <xf numFmtId="0" fontId="22" fillId="0" borderId="5" xfId="97" applyFont="1" applyBorder="1" applyAlignment="1">
      <alignment horizontal="center" vertical="center" wrapText="1"/>
    </xf>
    <xf numFmtId="0" fontId="22" fillId="0" borderId="6" xfId="97" applyFont="1" applyBorder="1" applyAlignment="1">
      <alignment horizontal="center" vertical="center" wrapText="1"/>
    </xf>
    <xf numFmtId="0" fontId="22" fillId="0" borderId="0" xfId="97" applyFont="1" applyAlignment="1">
      <alignment horizontal="center" vertical="center" wrapText="1"/>
    </xf>
    <xf numFmtId="0" fontId="22" fillId="0" borderId="7" xfId="0" applyFont="1" applyBorder="1" applyAlignment="1">
      <alignment horizontal="center" vertical="center" wrapText="1"/>
    </xf>
    <xf numFmtId="3" fontId="22" fillId="0" borderId="0" xfId="97" applyNumberFormat="1" applyFont="1" applyFill="1" applyBorder="1" applyAlignment="1">
      <alignment horizontal="right" vertical="center"/>
    </xf>
    <xf numFmtId="0" fontId="24" fillId="0" borderId="0" xfId="97" applyFont="1" applyAlignment="1">
      <alignment horizontal="center" vertical="center"/>
    </xf>
    <xf numFmtId="0" fontId="24" fillId="0" borderId="0" xfId="97" applyFont="1" applyBorder="1" applyAlignment="1">
      <alignment horizontal="center" vertical="center"/>
    </xf>
    <xf numFmtId="0" fontId="22" fillId="0" borderId="0" xfId="97" applyFont="1" applyFill="1" applyAlignment="1">
      <alignment vertical="center"/>
    </xf>
    <xf numFmtId="0" fontId="22" fillId="0" borderId="2" xfId="97" applyFont="1" applyBorder="1" applyAlignment="1">
      <alignment horizontal="right" vertical="center"/>
    </xf>
    <xf numFmtId="0" fontId="22" fillId="0" borderId="10" xfId="0" applyFont="1" applyBorder="1" applyAlignment="1">
      <alignment horizontal="center" vertical="center" wrapText="1"/>
    </xf>
    <xf numFmtId="0" fontId="22" fillId="0" borderId="0" xfId="97" applyFont="1" applyAlignment="1">
      <alignment vertical="center"/>
    </xf>
    <xf numFmtId="176" fontId="22" fillId="0" borderId="0" xfId="97" applyNumberFormat="1" applyFont="1" applyBorder="1" applyAlignment="1">
      <alignment horizontal="right" vertical="center"/>
    </xf>
    <xf numFmtId="0" fontId="22" fillId="0" borderId="0" xfId="0" applyFont="1" applyAlignment="1">
      <alignment vertical="center"/>
    </xf>
    <xf numFmtId="0" fontId="22" fillId="0" borderId="11" xfId="0" applyFont="1" applyBorder="1" applyAlignment="1">
      <alignment horizontal="center" vertical="center" wrapText="1"/>
    </xf>
    <xf numFmtId="176" fontId="22" fillId="0" borderId="3" xfId="97" applyNumberFormat="1" applyFont="1" applyBorder="1" applyAlignment="1">
      <alignment horizontal="center" vertical="center" wrapText="1"/>
    </xf>
    <xf numFmtId="176" fontId="25" fillId="0" borderId="3" xfId="97" applyNumberFormat="1" applyFont="1" applyBorder="1" applyAlignment="1">
      <alignment horizontal="center" vertical="center" wrapText="1"/>
    </xf>
    <xf numFmtId="176" fontId="22" fillId="0" borderId="8" xfId="97" applyNumberFormat="1" applyFont="1" applyBorder="1" applyAlignment="1">
      <alignment horizontal="right" vertical="center"/>
    </xf>
    <xf numFmtId="176" fontId="22" fillId="0" borderId="12" xfId="97" applyNumberFormat="1" applyFont="1" applyBorder="1" applyAlignment="1">
      <alignment horizontal="center" vertical="center" wrapText="1"/>
    </xf>
    <xf numFmtId="0" fontId="22" fillId="0" borderId="0" xfId="97" applyFont="1" applyFill="1" applyAlignment="1">
      <alignment horizontal="center" vertical="center"/>
    </xf>
    <xf numFmtId="0" fontId="22" fillId="0" borderId="0" xfId="0" applyFont="1" applyBorder="1" applyAlignment="1">
      <alignment horizontal="center" vertical="center"/>
    </xf>
    <xf numFmtId="177" fontId="22" fillId="0" borderId="0" xfId="97" applyNumberFormat="1" applyFont="1" applyFill="1" applyBorder="1" applyAlignment="1">
      <alignment horizontal="right" vertical="center"/>
    </xf>
    <xf numFmtId="0" fontId="22" fillId="0" borderId="0" xfId="97" applyFont="1" applyAlignment="1">
      <alignment horizontal="left" vertical="center"/>
    </xf>
    <xf numFmtId="0" fontId="22" fillId="0" borderId="0" xfId="0" applyFont="1" applyAlignment="1">
      <alignment horizontal="center" vertical="center"/>
    </xf>
    <xf numFmtId="0" fontId="22" fillId="0" borderId="0" xfId="0" applyFont="1" applyBorder="1" applyAlignment="1">
      <alignment horizontal="right" vertical="center"/>
    </xf>
    <xf numFmtId="0" fontId="22" fillId="0" borderId="0" xfId="95" applyFont="1" applyAlignment="1">
      <alignment vertical="center"/>
    </xf>
    <xf numFmtId="3" fontId="22" fillId="0" borderId="0" xfId="95" applyNumberFormat="1" applyFont="1" applyAlignment="1">
      <alignment vertical="center"/>
    </xf>
    <xf numFmtId="0" fontId="22" fillId="0" borderId="0" xfId="95" applyFont="1" applyBorder="1" applyAlignment="1">
      <alignment vertical="center"/>
    </xf>
    <xf numFmtId="3" fontId="22" fillId="0" borderId="0" xfId="95" applyNumberFormat="1" applyFont="1" applyBorder="1" applyAlignment="1">
      <alignment vertical="center"/>
    </xf>
    <xf numFmtId="0" fontId="22" fillId="0" borderId="0" xfId="95" applyFont="1"/>
    <xf numFmtId="3" fontId="22" fillId="0" borderId="0" xfId="95" applyNumberFormat="1" applyFont="1" applyFill="1" applyAlignment="1">
      <alignment vertical="center"/>
    </xf>
    <xf numFmtId="0" fontId="22" fillId="0" borderId="0" xfId="95" applyFont="1" applyFill="1" applyAlignment="1">
      <alignment vertical="center"/>
    </xf>
    <xf numFmtId="3" fontId="22" fillId="0" borderId="0" xfId="95" applyNumberFormat="1" applyFont="1" applyFill="1" applyBorder="1" applyAlignment="1">
      <alignment vertical="center"/>
    </xf>
    <xf numFmtId="0" fontId="22" fillId="0" borderId="0" xfId="95" applyFont="1" applyFill="1" applyBorder="1" applyAlignment="1">
      <alignment vertical="center"/>
    </xf>
    <xf numFmtId="0" fontId="22" fillId="0" borderId="0" xfId="97" applyFont="1" applyFill="1" applyBorder="1" applyAlignment="1">
      <alignment horizontal="center" vertical="center"/>
    </xf>
    <xf numFmtId="176" fontId="22" fillId="0" borderId="8" xfId="97" applyNumberFormat="1" applyFont="1" applyFill="1" applyBorder="1" applyAlignment="1">
      <alignment horizontal="right" vertical="center"/>
    </xf>
    <xf numFmtId="176" fontId="22" fillId="0" borderId="0" xfId="97" applyNumberFormat="1" applyFont="1" applyFill="1" applyBorder="1" applyAlignment="1">
      <alignment horizontal="right" vertical="center"/>
    </xf>
    <xf numFmtId="176" fontId="25" fillId="0" borderId="0" xfId="97" applyNumberFormat="1" applyFont="1" applyBorder="1" applyAlignment="1">
      <alignment vertical="center"/>
    </xf>
    <xf numFmtId="176" fontId="22" fillId="0" borderId="0" xfId="97" applyNumberFormat="1" applyFont="1" applyBorder="1" applyAlignment="1">
      <alignment vertical="center"/>
    </xf>
    <xf numFmtId="0" fontId="25" fillId="0" borderId="0" xfId="97" applyFont="1" applyAlignment="1">
      <alignment horizontal="center" vertical="center"/>
    </xf>
    <xf numFmtId="176" fontId="22" fillId="0" borderId="0" xfId="97" applyNumberFormat="1" applyFont="1" applyFill="1" applyBorder="1" applyAlignment="1">
      <alignment vertical="center"/>
    </xf>
    <xf numFmtId="0" fontId="25" fillId="0" borderId="0" xfId="97" applyFont="1" applyBorder="1" applyAlignment="1">
      <alignment horizontal="center" vertical="center"/>
    </xf>
    <xf numFmtId="176" fontId="22" fillId="0" borderId="8" xfId="97" applyNumberFormat="1" applyFont="1" applyBorder="1" applyAlignment="1">
      <alignment vertical="center"/>
    </xf>
    <xf numFmtId="176" fontId="22" fillId="0" borderId="8" xfId="97" applyNumberFormat="1" applyFont="1" applyFill="1" applyBorder="1" applyAlignment="1">
      <alignment vertical="center"/>
    </xf>
    <xf numFmtId="3" fontId="22" fillId="0" borderId="0" xfId="97" applyNumberFormat="1" applyFont="1" applyBorder="1" applyAlignment="1">
      <alignment horizontal="center" vertical="center"/>
    </xf>
    <xf numFmtId="49" fontId="22" fillId="0" borderId="0" xfId="105" applyNumberFormat="1" applyFont="1" applyAlignment="1">
      <alignment vertical="center"/>
    </xf>
    <xf numFmtId="49" fontId="22" fillId="0" borderId="0" xfId="97" applyNumberFormat="1" applyFont="1" applyAlignment="1">
      <alignment horizontal="center" vertical="center"/>
    </xf>
    <xf numFmtId="180" fontId="22" fillId="0" borderId="0" xfId="105" applyNumberFormat="1" applyFont="1" applyAlignment="1">
      <alignment horizontal="center" vertical="center"/>
    </xf>
    <xf numFmtId="176" fontId="22" fillId="0" borderId="0" xfId="77" applyNumberFormat="1" applyFont="1" applyFill="1" applyBorder="1" applyAlignment="1">
      <alignment horizontal="right" vertical="center"/>
    </xf>
    <xf numFmtId="177" fontId="22" fillId="0" borderId="0" xfId="97" applyNumberFormat="1" applyFont="1" applyBorder="1" applyAlignment="1">
      <alignment vertical="center"/>
    </xf>
    <xf numFmtId="41" fontId="22" fillId="0" borderId="0" xfId="102" applyNumberFormat="1" applyFont="1" applyBorder="1" applyAlignment="1">
      <alignment horizontal="right" vertical="center"/>
    </xf>
    <xf numFmtId="177" fontId="22" fillId="0" borderId="0" xfId="97" applyNumberFormat="1" applyFont="1" applyFill="1" applyBorder="1" applyAlignment="1">
      <alignment vertical="center"/>
    </xf>
    <xf numFmtId="41" fontId="22" fillId="0" borderId="0" xfId="102" applyNumberFormat="1" applyFont="1" applyFill="1" applyBorder="1" applyAlignment="1">
      <alignment horizontal="right" vertical="center"/>
    </xf>
    <xf numFmtId="176" fontId="22" fillId="0" borderId="0" xfId="0" applyNumberFormat="1" applyFont="1" applyAlignment="1">
      <alignment horizontal="right" vertical="center"/>
    </xf>
    <xf numFmtId="178" fontId="22" fillId="0" borderId="0" xfId="97" applyNumberFormat="1" applyFont="1" applyFill="1" applyBorder="1" applyAlignment="1">
      <alignment vertical="center"/>
    </xf>
    <xf numFmtId="3" fontId="22" fillId="0" borderId="0" xfId="97" applyNumberFormat="1" applyFont="1" applyAlignment="1">
      <alignment horizontal="center" vertical="center"/>
    </xf>
    <xf numFmtId="0" fontId="22" fillId="0" borderId="0" xfId="96" applyFont="1" applyFill="1">
      <alignment vertical="center"/>
    </xf>
    <xf numFmtId="0" fontId="25" fillId="0" borderId="0" xfId="104" applyFont="1" applyFill="1" applyAlignment="1">
      <alignment vertical="center"/>
    </xf>
    <xf numFmtId="0" fontId="25" fillId="0" borderId="0" xfId="0" applyFont="1" applyFill="1" applyBorder="1" applyAlignment="1">
      <alignment vertical="center"/>
    </xf>
    <xf numFmtId="41" fontId="22" fillId="0" borderId="14" xfId="102" applyNumberFormat="1" applyFont="1" applyFill="1" applyBorder="1" applyAlignment="1">
      <alignment horizontal="right" vertical="center"/>
    </xf>
    <xf numFmtId="0" fontId="22" fillId="0" borderId="0" xfId="99" applyFont="1" applyAlignment="1">
      <alignment vertical="center"/>
    </xf>
    <xf numFmtId="41" fontId="22" fillId="0" borderId="0" xfId="105" applyNumberFormat="1" applyFont="1" applyBorder="1" applyAlignment="1">
      <alignment horizontal="right" vertical="center"/>
    </xf>
    <xf numFmtId="41" fontId="22" fillId="0" borderId="0" xfId="105" applyNumberFormat="1" applyFont="1" applyFill="1" applyBorder="1" applyAlignment="1">
      <alignment horizontal="right" vertical="center"/>
    </xf>
    <xf numFmtId="0" fontId="22" fillId="0" borderId="0" xfId="0" applyFont="1" applyBorder="1">
      <alignment vertical="center"/>
    </xf>
    <xf numFmtId="3" fontId="22" fillId="0" borderId="8" xfId="100" applyNumberFormat="1" applyFont="1" applyBorder="1" applyAlignment="1">
      <alignment horizontal="right" vertical="center"/>
    </xf>
    <xf numFmtId="41" fontId="22" fillId="0" borderId="8" xfId="102" applyNumberFormat="1" applyFont="1" applyFill="1" applyBorder="1" applyAlignment="1">
      <alignment horizontal="right" vertical="center"/>
    </xf>
    <xf numFmtId="41" fontId="22" fillId="0" borderId="0" xfId="97" applyNumberFormat="1" applyFont="1" applyFill="1" applyBorder="1" applyAlignment="1">
      <alignment horizontal="right" vertical="center"/>
    </xf>
    <xf numFmtId="0" fontId="22" fillId="0" borderId="0" xfId="97" applyFont="1" applyBorder="1" applyAlignment="1">
      <alignment horizontal="left" vertical="center"/>
    </xf>
    <xf numFmtId="41" fontId="22" fillId="0" borderId="0" xfId="0" applyNumberFormat="1" applyFont="1" applyFill="1" applyBorder="1" applyAlignment="1">
      <alignment horizontal="right" vertical="center"/>
    </xf>
    <xf numFmtId="176" fontId="22" fillId="0" borderId="0" xfId="97" applyNumberFormat="1" applyFont="1" applyBorder="1" applyAlignment="1">
      <alignment horizontal="center" vertical="center"/>
    </xf>
    <xf numFmtId="0" fontId="22" fillId="33" borderId="0" xfId="97" applyFont="1" applyFill="1" applyAlignment="1">
      <alignment horizontal="center" vertical="center"/>
    </xf>
    <xf numFmtId="176" fontId="22" fillId="0" borderId="15" xfId="97" applyNumberFormat="1" applyFont="1" applyBorder="1" applyAlignment="1">
      <alignment vertical="center"/>
    </xf>
    <xf numFmtId="176" fontId="22" fillId="0" borderId="0" xfId="0" applyNumberFormat="1" applyFont="1" applyBorder="1">
      <alignment vertical="center"/>
    </xf>
    <xf numFmtId="181" fontId="22" fillId="0" borderId="0" xfId="97" applyNumberFormat="1" applyFont="1" applyAlignment="1">
      <alignment horizontal="center" vertical="center"/>
    </xf>
    <xf numFmtId="41" fontId="22" fillId="0" borderId="0" xfId="97" applyNumberFormat="1" applyFont="1" applyAlignment="1">
      <alignment horizontal="center" vertical="center"/>
    </xf>
    <xf numFmtId="183" fontId="22" fillId="0" borderId="8" xfId="97" applyNumberFormat="1" applyFont="1" applyFill="1" applyBorder="1" applyAlignment="1">
      <alignment horizontal="right" vertical="center"/>
    </xf>
    <xf numFmtId="183" fontId="22" fillId="0" borderId="0" xfId="97" applyNumberFormat="1" applyFont="1" applyFill="1" applyBorder="1" applyAlignment="1">
      <alignment horizontal="right" vertical="center"/>
    </xf>
    <xf numFmtId="0" fontId="64" fillId="33" borderId="0" xfId="97" applyFont="1" applyFill="1" applyAlignment="1">
      <alignment horizontal="center" vertical="center"/>
    </xf>
    <xf numFmtId="0" fontId="22" fillId="0" borderId="0" xfId="100" applyNumberFormat="1" applyFont="1" applyAlignment="1">
      <alignment horizontal="left" vertical="center"/>
    </xf>
    <xf numFmtId="0" fontId="22" fillId="0" borderId="2" xfId="97" applyNumberFormat="1" applyFont="1" applyBorder="1" applyAlignment="1">
      <alignment horizontal="center" vertical="center"/>
    </xf>
    <xf numFmtId="0" fontId="22" fillId="0" borderId="2" xfId="97" applyNumberFormat="1" applyFont="1" applyBorder="1" applyAlignment="1">
      <alignment vertical="center"/>
    </xf>
    <xf numFmtId="0" fontId="22" fillId="0" borderId="17" xfId="0" applyNumberFormat="1" applyFont="1" applyBorder="1" applyAlignment="1">
      <alignment horizontal="center" vertical="center" wrapText="1"/>
    </xf>
    <xf numFmtId="0" fontId="22" fillId="0" borderId="10" xfId="0" applyNumberFormat="1" applyFont="1" applyFill="1" applyBorder="1" applyAlignment="1">
      <alignment horizontal="center" vertical="center" wrapText="1"/>
    </xf>
    <xf numFmtId="0" fontId="22" fillId="0" borderId="7" xfId="0" applyNumberFormat="1" applyFont="1" applyFill="1" applyBorder="1" applyAlignment="1">
      <alignment horizontal="center" vertical="center" wrapText="1"/>
    </xf>
    <xf numFmtId="0" fontId="22" fillId="0" borderId="0" xfId="97" applyNumberFormat="1" applyFont="1" applyAlignment="1">
      <alignment horizontal="center" vertical="center" wrapText="1"/>
    </xf>
    <xf numFmtId="0" fontId="22" fillId="0" borderId="0" xfId="97" applyNumberFormat="1" applyFont="1" applyAlignment="1">
      <alignment vertical="center"/>
    </xf>
    <xf numFmtId="0" fontId="22" fillId="0" borderId="0" xfId="97" applyNumberFormat="1" applyFont="1" applyFill="1" applyAlignment="1">
      <alignment vertical="center"/>
    </xf>
    <xf numFmtId="0" fontId="22" fillId="0" borderId="0" xfId="0" applyNumberFormat="1" applyFont="1" applyAlignment="1">
      <alignment vertical="center"/>
    </xf>
    <xf numFmtId="0" fontId="22" fillId="0" borderId="0" xfId="97" applyNumberFormat="1" applyFont="1" applyAlignment="1">
      <alignment horizontal="left" vertical="center"/>
    </xf>
    <xf numFmtId="0" fontId="22" fillId="0" borderId="0" xfId="97" applyNumberFormat="1" applyFont="1" applyBorder="1" applyAlignment="1">
      <alignment vertical="center"/>
    </xf>
    <xf numFmtId="0" fontId="22" fillId="0" borderId="0" xfId="97" applyNumberFormat="1" applyFont="1" applyFill="1" applyAlignment="1">
      <alignment horizontal="left" vertical="center"/>
    </xf>
    <xf numFmtId="0" fontId="22" fillId="0" borderId="3" xfId="97" applyNumberFormat="1" applyFont="1" applyBorder="1" applyAlignment="1">
      <alignment horizontal="left" vertical="center" wrapText="1" justifyLastLine="1"/>
    </xf>
    <xf numFmtId="0" fontId="22" fillId="0" borderId="0" xfId="95" applyNumberFormat="1" applyFont="1"/>
    <xf numFmtId="0" fontId="22" fillId="0" borderId="0" xfId="0" applyNumberFormat="1" applyFont="1" applyAlignment="1">
      <alignment horizontal="right" vertical="center"/>
    </xf>
    <xf numFmtId="0" fontId="22" fillId="0" borderId="0" xfId="0" applyNumberFormat="1" applyFont="1" applyBorder="1" applyAlignment="1">
      <alignment horizontal="right" vertical="center"/>
    </xf>
    <xf numFmtId="0" fontId="22" fillId="0" borderId="0" xfId="95" applyNumberFormat="1" applyFont="1" applyBorder="1" applyAlignment="1">
      <alignment horizontal="center" vertical="center"/>
    </xf>
    <xf numFmtId="0" fontId="22" fillId="0" borderId="0" xfId="95" applyNumberFormat="1" applyFont="1" applyAlignment="1">
      <alignment horizontal="center" vertical="center"/>
    </xf>
    <xf numFmtId="0" fontId="22" fillId="0" borderId="16" xfId="95" applyNumberFormat="1" applyFont="1" applyBorder="1" applyAlignment="1">
      <alignment horizontal="center" vertical="center" wrapText="1"/>
    </xf>
    <xf numFmtId="0" fontId="22" fillId="0" borderId="4" xfId="95" applyNumberFormat="1" applyFont="1" applyBorder="1" applyAlignment="1">
      <alignment horizontal="center" vertical="center" wrapText="1"/>
    </xf>
    <xf numFmtId="0" fontId="22" fillId="0" borderId="5" xfId="95" applyNumberFormat="1" applyFont="1" applyBorder="1" applyAlignment="1">
      <alignment horizontal="center" vertical="center" wrapText="1"/>
    </xf>
    <xf numFmtId="0" fontId="22" fillId="0" borderId="6" xfId="95" applyNumberFormat="1" applyFont="1" applyBorder="1" applyAlignment="1">
      <alignment horizontal="center" vertical="center" wrapText="1"/>
    </xf>
    <xf numFmtId="0" fontId="22" fillId="0" borderId="17" xfId="95" applyNumberFormat="1" applyFont="1" applyBorder="1" applyAlignment="1">
      <alignment horizontal="center" vertical="center" wrapText="1"/>
    </xf>
    <xf numFmtId="0" fontId="22" fillId="0" borderId="7" xfId="95" applyNumberFormat="1" applyFont="1" applyBorder="1" applyAlignment="1">
      <alignment horizontal="center" vertical="center" wrapText="1"/>
    </xf>
    <xf numFmtId="0" fontId="22" fillId="0" borderId="10" xfId="95" applyNumberFormat="1" applyFont="1" applyBorder="1" applyAlignment="1">
      <alignment horizontal="center" vertical="center" wrapText="1"/>
    </xf>
    <xf numFmtId="0" fontId="22" fillId="0" borderId="11" xfId="95" applyNumberFormat="1" applyFont="1" applyBorder="1" applyAlignment="1">
      <alignment horizontal="center" vertical="center" wrapText="1"/>
    </xf>
    <xf numFmtId="0" fontId="22" fillId="0" borderId="0" xfId="0" applyNumberFormat="1" applyFont="1" applyBorder="1" applyAlignment="1">
      <alignment vertical="center"/>
    </xf>
    <xf numFmtId="0" fontId="22" fillId="0" borderId="3" xfId="97" applyNumberFormat="1" applyFont="1" applyBorder="1" applyAlignment="1">
      <alignment horizontal="center" vertical="center" wrapText="1" justifyLastLine="1"/>
    </xf>
    <xf numFmtId="0" fontId="22" fillId="0" borderId="12" xfId="97" applyNumberFormat="1" applyFont="1" applyBorder="1" applyAlignment="1">
      <alignment horizontal="center" vertical="center" wrapText="1" justifyLastLine="1"/>
    </xf>
    <xf numFmtId="0" fontId="22" fillId="0" borderId="0" xfId="95" applyNumberFormat="1" applyFont="1" applyFill="1" applyAlignment="1">
      <alignment horizontal="center" vertical="center"/>
    </xf>
    <xf numFmtId="0" fontId="22" fillId="0" borderId="0" xfId="100" applyNumberFormat="1" applyFont="1" applyFill="1" applyAlignment="1">
      <alignment horizontal="left" vertical="center"/>
    </xf>
    <xf numFmtId="0" fontId="22" fillId="0" borderId="0" xfId="0" applyNumberFormat="1" applyFont="1" applyFill="1" applyBorder="1" applyAlignment="1">
      <alignment horizontal="center" vertical="center"/>
    </xf>
    <xf numFmtId="0" fontId="22" fillId="0" borderId="18" xfId="97" applyNumberFormat="1" applyFont="1" applyFill="1" applyBorder="1" applyAlignment="1">
      <alignment horizontal="center" vertical="center" wrapText="1" justifyLastLine="1"/>
    </xf>
    <xf numFmtId="0" fontId="22" fillId="0" borderId="0" xfId="0" applyNumberFormat="1" applyFont="1" applyFill="1" applyAlignment="1">
      <alignment vertical="center"/>
    </xf>
    <xf numFmtId="0" fontId="22" fillId="0" borderId="0" xfId="95" applyNumberFormat="1" applyFont="1" applyFill="1" applyAlignment="1">
      <alignment vertical="center"/>
    </xf>
    <xf numFmtId="0" fontId="22" fillId="0" borderId="0" xfId="0" applyNumberFormat="1" applyFont="1" applyFill="1" applyAlignment="1">
      <alignment horizontal="center" vertical="center"/>
    </xf>
    <xf numFmtId="0" fontId="22" fillId="0" borderId="0" xfId="0" applyNumberFormat="1" applyFont="1" applyFill="1" applyAlignment="1">
      <alignment horizontal="right" vertical="center"/>
    </xf>
    <xf numFmtId="0" fontId="22" fillId="0" borderId="0" xfId="0" applyNumberFormat="1" applyFont="1" applyFill="1" applyBorder="1" applyAlignment="1">
      <alignment horizontal="right" vertical="center"/>
    </xf>
    <xf numFmtId="0" fontId="22" fillId="0" borderId="0" xfId="0" applyNumberFormat="1" applyFont="1" applyFill="1" applyBorder="1" applyAlignment="1">
      <alignment vertical="center"/>
    </xf>
    <xf numFmtId="0" fontId="22" fillId="0" borderId="2" xfId="0" applyNumberFormat="1" applyFont="1" applyBorder="1" applyAlignment="1">
      <alignment horizontal="center" vertical="center"/>
    </xf>
    <xf numFmtId="0" fontId="2" fillId="0" borderId="11" xfId="0" applyNumberFormat="1" applyFont="1" applyBorder="1" applyAlignment="1">
      <alignment horizontal="center" vertical="center" wrapText="1"/>
    </xf>
    <xf numFmtId="0" fontId="22" fillId="0" borderId="21" xfId="0" applyNumberFormat="1" applyFont="1" applyBorder="1" applyAlignment="1">
      <alignment vertical="center"/>
    </xf>
    <xf numFmtId="0" fontId="22" fillId="0" borderId="5" xfId="0" applyNumberFormat="1" applyFont="1" applyBorder="1" applyAlignment="1">
      <alignment vertical="center"/>
    </xf>
    <xf numFmtId="0" fontId="22" fillId="0" borderId="19" xfId="0" applyNumberFormat="1" applyFont="1" applyBorder="1" applyAlignment="1">
      <alignment horizontal="center" vertical="center"/>
    </xf>
    <xf numFmtId="0" fontId="10" fillId="0" borderId="4" xfId="0" applyNumberFormat="1" applyFont="1" applyBorder="1" applyAlignment="1">
      <alignment horizontal="center" vertical="center" wrapText="1"/>
    </xf>
    <xf numFmtId="0" fontId="35" fillId="0" borderId="4" xfId="0" applyNumberFormat="1" applyFont="1" applyBorder="1" applyAlignment="1">
      <alignment horizontal="center" vertical="center" wrapText="1"/>
    </xf>
    <xf numFmtId="0" fontId="10" fillId="0" borderId="6" xfId="0" applyNumberFormat="1" applyFont="1" applyBorder="1" applyAlignment="1">
      <alignment horizontal="center" vertical="center" wrapText="1"/>
    </xf>
    <xf numFmtId="0" fontId="33" fillId="0" borderId="7" xfId="0" applyNumberFormat="1" applyFont="1" applyBorder="1" applyAlignment="1">
      <alignment horizontal="center" vertical="center" wrapText="1"/>
    </xf>
    <xf numFmtId="0" fontId="2" fillId="0" borderId="7" xfId="0" applyNumberFormat="1" applyFont="1" applyBorder="1" applyAlignment="1">
      <alignment horizontal="center" vertical="center" wrapText="1"/>
    </xf>
    <xf numFmtId="0" fontId="22" fillId="0" borderId="0" xfId="97" applyNumberFormat="1" applyFont="1" applyAlignment="1">
      <alignment vertical="center" wrapText="1"/>
    </xf>
    <xf numFmtId="0" fontId="22" fillId="0" borderId="0" xfId="97" applyNumberFormat="1" applyFont="1" applyFill="1"/>
    <xf numFmtId="0" fontId="22" fillId="0" borderId="4" xfId="97" applyNumberFormat="1" applyFont="1" applyFill="1" applyBorder="1" applyAlignment="1">
      <alignment horizontal="center" vertical="center"/>
    </xf>
    <xf numFmtId="0" fontId="22" fillId="0" borderId="9" xfId="97" applyNumberFormat="1" applyFont="1" applyFill="1" applyBorder="1" applyAlignment="1">
      <alignment horizontal="center" vertical="center" wrapText="1"/>
    </xf>
    <xf numFmtId="0" fontId="25" fillId="0" borderId="3" xfId="97" applyNumberFormat="1" applyFont="1" applyBorder="1" applyAlignment="1">
      <alignment horizontal="center" vertical="center" wrapText="1"/>
    </xf>
    <xf numFmtId="0" fontId="22" fillId="0" borderId="6" xfId="97" applyNumberFormat="1" applyFont="1" applyBorder="1" applyAlignment="1">
      <alignment horizontal="center" vertical="distributed"/>
    </xf>
    <xf numFmtId="0" fontId="22" fillId="0" borderId="4" xfId="97" applyNumberFormat="1" applyFont="1" applyBorder="1" applyAlignment="1">
      <alignment horizontal="center" vertical="distributed"/>
    </xf>
    <xf numFmtId="0" fontId="22" fillId="0" borderId="7" xfId="97" applyNumberFormat="1" applyFont="1" applyBorder="1" applyAlignment="1">
      <alignment horizontal="center" vertical="distributed"/>
    </xf>
    <xf numFmtId="0" fontId="22" fillId="0" borderId="11" xfId="97" applyNumberFormat="1" applyFont="1" applyBorder="1" applyAlignment="1">
      <alignment horizontal="center" vertical="center"/>
    </xf>
    <xf numFmtId="0" fontId="25" fillId="0" borderId="0" xfId="97" applyNumberFormat="1" applyFont="1" applyBorder="1" applyAlignment="1">
      <alignment horizontal="center" vertical="center" wrapText="1"/>
    </xf>
    <xf numFmtId="0" fontId="22" fillId="0" borderId="0" xfId="97" applyNumberFormat="1" applyFont="1"/>
    <xf numFmtId="0" fontId="22" fillId="0" borderId="0" xfId="97" applyNumberFormat="1" applyFont="1" applyAlignment="1">
      <alignment horizontal="right" vertical="top"/>
    </xf>
    <xf numFmtId="0" fontId="22" fillId="0" borderId="24" xfId="97" applyNumberFormat="1" applyFont="1" applyBorder="1" applyAlignment="1">
      <alignment horizontal="center" vertical="distributed"/>
    </xf>
    <xf numFmtId="0" fontId="22" fillId="0" borderId="11" xfId="97" applyNumberFormat="1" applyFont="1" applyBorder="1" applyAlignment="1">
      <alignment horizontal="center" vertical="distributed"/>
    </xf>
    <xf numFmtId="0" fontId="22" fillId="0" borderId="8" xfId="97" applyNumberFormat="1" applyFont="1" applyBorder="1" applyAlignment="1">
      <alignment horizontal="center" vertical="distributed" wrapText="1"/>
    </xf>
    <xf numFmtId="0" fontId="22" fillId="0" borderId="7" xfId="97" applyNumberFormat="1" applyFont="1" applyBorder="1" applyAlignment="1">
      <alignment horizontal="center" vertical="distributed" wrapText="1"/>
    </xf>
    <xf numFmtId="0" fontId="25" fillId="0" borderId="3" xfId="97" applyNumberFormat="1" applyFont="1" applyBorder="1" applyAlignment="1">
      <alignment horizontal="center" vertical="center" wrapText="1" justifyLastLine="1"/>
    </xf>
    <xf numFmtId="0" fontId="22" fillId="0" borderId="14" xfId="97" applyNumberFormat="1" applyFont="1" applyBorder="1" applyAlignment="1">
      <alignment vertical="center" wrapText="1"/>
    </xf>
    <xf numFmtId="0" fontId="22" fillId="0" borderId="0" xfId="97" applyNumberFormat="1" applyFont="1" applyBorder="1" applyAlignment="1">
      <alignment horizontal="left" vertical="center"/>
    </xf>
    <xf numFmtId="0" fontId="22" fillId="0" borderId="0" xfId="105" applyNumberFormat="1" applyFont="1" applyAlignment="1">
      <alignment horizontal="right" vertical="center"/>
    </xf>
    <xf numFmtId="0" fontId="22" fillId="0" borderId="0" xfId="97" applyNumberFormat="1" applyFont="1" applyBorder="1" applyAlignment="1">
      <alignment horizontal="center" vertical="center" wrapText="1" justifyLastLine="1"/>
    </xf>
    <xf numFmtId="0" fontId="22" fillId="0" borderId="25" xfId="97" applyNumberFormat="1" applyFont="1" applyBorder="1" applyAlignment="1">
      <alignment horizontal="center" vertical="center"/>
    </xf>
    <xf numFmtId="0" fontId="22" fillId="0" borderId="0" xfId="105" applyNumberFormat="1" applyFont="1" applyAlignment="1">
      <alignment vertical="center"/>
    </xf>
    <xf numFmtId="0" fontId="22" fillId="0" borderId="0" xfId="105" applyNumberFormat="1" applyFont="1" applyAlignment="1">
      <alignment horizontal="center" vertical="center"/>
    </xf>
    <xf numFmtId="0" fontId="10" fillId="0" borderId="6" xfId="97" applyNumberFormat="1" applyFont="1" applyBorder="1" applyAlignment="1">
      <alignment horizontal="center" vertical="center" wrapText="1"/>
    </xf>
    <xf numFmtId="0" fontId="10" fillId="0" borderId="4" xfId="97" applyNumberFormat="1" applyFont="1" applyBorder="1" applyAlignment="1">
      <alignment horizontal="center" vertical="center" wrapText="1"/>
    </xf>
    <xf numFmtId="0" fontId="22" fillId="0" borderId="16" xfId="97" applyNumberFormat="1" applyFont="1" applyFill="1" applyBorder="1" applyAlignment="1">
      <alignment horizontal="center" vertical="center"/>
    </xf>
    <xf numFmtId="0" fontId="22" fillId="0" borderId="16" xfId="97" applyNumberFormat="1" applyFont="1" applyBorder="1" applyAlignment="1">
      <alignment horizontal="center" vertical="center"/>
    </xf>
    <xf numFmtId="0" fontId="22" fillId="0" borderId="9" xfId="97" applyNumberFormat="1" applyFont="1" applyBorder="1" applyAlignment="1">
      <alignment horizontal="center" vertical="center" wrapText="1"/>
    </xf>
    <xf numFmtId="0" fontId="22" fillId="0" borderId="0" xfId="97" applyNumberFormat="1" applyFont="1" applyBorder="1" applyAlignment="1">
      <alignment vertical="center" wrapText="1"/>
    </xf>
    <xf numFmtId="0" fontId="22" fillId="0" borderId="3" xfId="97" applyNumberFormat="1" applyFont="1" applyBorder="1" applyAlignment="1">
      <alignment vertical="center" wrapText="1"/>
    </xf>
    <xf numFmtId="0" fontId="22" fillId="0" borderId="12" xfId="97" applyNumberFormat="1" applyFont="1" applyBorder="1" applyAlignment="1">
      <alignment vertical="center" wrapText="1"/>
    </xf>
    <xf numFmtId="0" fontId="22" fillId="0" borderId="3" xfId="97" applyNumberFormat="1" applyFont="1" applyFill="1" applyBorder="1" applyAlignment="1">
      <alignment vertical="center" wrapText="1"/>
    </xf>
    <xf numFmtId="0" fontId="22" fillId="0" borderId="12" xfId="97" applyNumberFormat="1" applyFont="1" applyFill="1" applyBorder="1" applyAlignment="1">
      <alignment vertical="center" wrapText="1"/>
    </xf>
    <xf numFmtId="0" fontId="22" fillId="0" borderId="3" xfId="97" applyNumberFormat="1" applyFont="1" applyFill="1" applyBorder="1" applyAlignment="1">
      <alignment horizontal="left" vertical="center" wrapText="1" justifyLastLine="1"/>
    </xf>
    <xf numFmtId="0" fontId="2" fillId="0" borderId="25" xfId="97" applyNumberFormat="1" applyFont="1" applyFill="1" applyBorder="1" applyAlignment="1">
      <alignment horizontal="center" vertical="center"/>
    </xf>
    <xf numFmtId="0" fontId="2" fillId="0" borderId="4" xfId="97" applyNumberFormat="1" applyFont="1" applyFill="1" applyBorder="1" applyAlignment="1">
      <alignment horizontal="center" vertical="center" wrapText="1"/>
    </xf>
    <xf numFmtId="0" fontId="2" fillId="0" borderId="1" xfId="97" applyNumberFormat="1" applyFont="1" applyFill="1" applyBorder="1" applyAlignment="1">
      <alignment horizontal="center" vertical="center"/>
    </xf>
    <xf numFmtId="0" fontId="2" fillId="0" borderId="14" xfId="97" applyNumberFormat="1" applyFont="1" applyFill="1" applyBorder="1" applyAlignment="1">
      <alignment horizontal="center" vertical="center"/>
    </xf>
    <xf numFmtId="0" fontId="17" fillId="0" borderId="10" xfId="97" applyNumberFormat="1" applyFont="1" applyFill="1" applyBorder="1" applyAlignment="1">
      <alignment horizontal="center" vertical="top" wrapText="1"/>
    </xf>
    <xf numFmtId="0" fontId="17" fillId="0" borderId="11" xfId="97" applyNumberFormat="1" applyFont="1" applyFill="1" applyBorder="1" applyAlignment="1">
      <alignment horizontal="center" vertical="top" wrapText="1"/>
    </xf>
    <xf numFmtId="0" fontId="22" fillId="0" borderId="3" xfId="97" applyNumberFormat="1" applyFont="1" applyFill="1" applyBorder="1" applyAlignment="1">
      <alignment horizontal="left" vertical="center"/>
    </xf>
    <xf numFmtId="0" fontId="22" fillId="0" borderId="0" xfId="96" applyNumberFormat="1" applyFont="1" applyFill="1">
      <alignment vertical="center"/>
    </xf>
    <xf numFmtId="0" fontId="22" fillId="0" borderId="2" xfId="101" applyNumberFormat="1" applyFont="1" applyFill="1" applyBorder="1" applyAlignment="1">
      <alignment horizontal="center" vertical="center"/>
    </xf>
    <xf numFmtId="0" fontId="22" fillId="0" borderId="0" xfId="96" applyNumberFormat="1" applyFont="1" applyFill="1" applyAlignment="1">
      <alignment horizontal="left" vertical="center"/>
    </xf>
    <xf numFmtId="0" fontId="22" fillId="0" borderId="3" xfId="101" applyNumberFormat="1" applyFont="1" applyFill="1" applyBorder="1" applyAlignment="1">
      <alignment horizontal="left" vertical="center"/>
    </xf>
    <xf numFmtId="0" fontId="22" fillId="0" borderId="3" xfId="102" applyNumberFormat="1" applyFont="1" applyFill="1" applyBorder="1" applyAlignment="1">
      <alignment horizontal="left" vertical="center"/>
    </xf>
    <xf numFmtId="0" fontId="22" fillId="0" borderId="3" xfId="102" applyNumberFormat="1" applyFont="1" applyFill="1" applyBorder="1" applyAlignment="1">
      <alignment horizontal="left" vertical="center" wrapText="1"/>
    </xf>
    <xf numFmtId="0" fontId="22" fillId="0" borderId="0" xfId="96" applyNumberFormat="1" applyFont="1" applyFill="1" applyBorder="1" applyAlignment="1">
      <alignment horizontal="left" vertical="center"/>
    </xf>
    <xf numFmtId="0" fontId="25" fillId="0" borderId="0" xfId="0" applyNumberFormat="1" applyFont="1" applyFill="1" applyAlignment="1">
      <alignment horizontal="left" vertical="center"/>
    </xf>
    <xf numFmtId="0" fontId="25" fillId="0" borderId="0" xfId="104" applyNumberFormat="1" applyFont="1" applyFill="1" applyAlignment="1">
      <alignment vertical="center"/>
    </xf>
    <xf numFmtId="0" fontId="22" fillId="0" borderId="0" xfId="101" applyNumberFormat="1" applyFont="1" applyFill="1" applyAlignment="1">
      <alignment vertical="center"/>
    </xf>
    <xf numFmtId="0" fontId="31" fillId="0" borderId="0" xfId="101" applyNumberFormat="1" applyFont="1" applyFill="1" applyAlignment="1">
      <alignment vertical="center"/>
    </xf>
    <xf numFmtId="0" fontId="22" fillId="0" borderId="2" xfId="101" applyNumberFormat="1" applyFont="1" applyFill="1" applyBorder="1" applyAlignment="1">
      <alignment vertical="center"/>
    </xf>
    <xf numFmtId="0" fontId="22" fillId="0" borderId="4" xfId="101" applyNumberFormat="1" applyFont="1" applyFill="1" applyBorder="1" applyAlignment="1">
      <alignment horizontal="center" vertical="center"/>
    </xf>
    <xf numFmtId="0" fontId="22" fillId="0" borderId="4" xfId="101" applyNumberFormat="1" applyFont="1" applyFill="1" applyBorder="1" applyAlignment="1">
      <alignment horizontal="center" vertical="center" wrapText="1"/>
    </xf>
    <xf numFmtId="0" fontId="22" fillId="0" borderId="5" xfId="101" applyNumberFormat="1" applyFont="1" applyFill="1" applyBorder="1" applyAlignment="1">
      <alignment horizontal="center" vertical="center"/>
    </xf>
    <xf numFmtId="0" fontId="22" fillId="0" borderId="5" xfId="101" applyNumberFormat="1" applyFont="1" applyFill="1" applyBorder="1" applyAlignment="1">
      <alignment horizontal="center" vertical="center" wrapText="1"/>
    </xf>
    <xf numFmtId="0" fontId="22" fillId="0" borderId="6" xfId="101" applyNumberFormat="1" applyFont="1" applyFill="1" applyBorder="1" applyAlignment="1">
      <alignment horizontal="center" vertical="center"/>
    </xf>
    <xf numFmtId="0" fontId="22" fillId="0" borderId="7" xfId="101" applyNumberFormat="1" applyFont="1" applyFill="1" applyBorder="1" applyAlignment="1">
      <alignment horizontal="center" vertical="center" wrapText="1"/>
    </xf>
    <xf numFmtId="0" fontId="22" fillId="0" borderId="10" xfId="101" applyNumberFormat="1" applyFont="1" applyFill="1" applyBorder="1" applyAlignment="1">
      <alignment horizontal="center" vertical="center" wrapText="1"/>
    </xf>
    <xf numFmtId="0" fontId="22" fillId="0" borderId="11" xfId="101" applyNumberFormat="1" applyFont="1" applyFill="1" applyBorder="1" applyAlignment="1">
      <alignment horizontal="center" vertical="center" wrapText="1"/>
    </xf>
    <xf numFmtId="0" fontId="22" fillId="0" borderId="0" xfId="96" applyNumberFormat="1" applyFont="1" applyFill="1" applyAlignment="1">
      <alignment horizontal="right" vertical="center" indent="1"/>
    </xf>
    <xf numFmtId="0" fontId="22" fillId="0" borderId="0" xfId="96" applyNumberFormat="1" applyFont="1" applyFill="1" applyBorder="1" applyAlignment="1">
      <alignment horizontal="right" vertical="center" indent="1"/>
    </xf>
    <xf numFmtId="0" fontId="25" fillId="0" borderId="0" xfId="0" applyNumberFormat="1" applyFont="1" applyFill="1" applyBorder="1" applyAlignment="1">
      <alignment vertical="center"/>
    </xf>
    <xf numFmtId="0" fontId="22" fillId="0" borderId="0" xfId="101" applyNumberFormat="1" applyFont="1" applyFill="1" applyAlignment="1">
      <alignment horizontal="right" vertical="center"/>
    </xf>
    <xf numFmtId="0" fontId="31" fillId="0" borderId="0" xfId="96" applyNumberFormat="1" applyFont="1" applyFill="1">
      <alignment vertical="center"/>
    </xf>
    <xf numFmtId="0" fontId="22" fillId="0" borderId="0" xfId="101" applyNumberFormat="1" applyFont="1" applyFill="1" applyBorder="1" applyAlignment="1">
      <alignment horizontal="right" vertical="center"/>
    </xf>
    <xf numFmtId="0" fontId="22" fillId="0" borderId="0" xfId="98" applyNumberFormat="1" applyFont="1" applyAlignment="1">
      <alignment horizontal="left" vertical="center"/>
    </xf>
    <xf numFmtId="0" fontId="22" fillId="0" borderId="2" xfId="98" applyNumberFormat="1" applyFont="1" applyBorder="1" applyAlignment="1">
      <alignment vertical="center" wrapText="1"/>
    </xf>
    <xf numFmtId="0" fontId="22" fillId="0" borderId="0" xfId="99" quotePrefix="1" applyNumberFormat="1" applyFont="1" applyBorder="1" applyAlignment="1">
      <alignment horizontal="left" vertical="center"/>
    </xf>
    <xf numFmtId="0" fontId="22" fillId="0" borderId="3" xfId="99" applyNumberFormat="1" applyFont="1" applyBorder="1" applyAlignment="1">
      <alignment horizontal="left" vertical="center"/>
    </xf>
    <xf numFmtId="0" fontId="28" fillId="0" borderId="0" xfId="0" applyNumberFormat="1" applyFont="1" applyFill="1" applyBorder="1" applyAlignment="1">
      <alignment vertical="center"/>
    </xf>
    <xf numFmtId="0" fontId="22" fillId="0" borderId="0" xfId="99" applyNumberFormat="1" applyFont="1" applyBorder="1" applyAlignment="1" applyProtection="1">
      <alignment horizontal="left" vertical="center"/>
      <protection locked="0"/>
    </xf>
    <xf numFmtId="0" fontId="22" fillId="0" borderId="3" xfId="99" applyNumberFormat="1" applyFont="1" applyBorder="1" applyAlignment="1" applyProtection="1">
      <alignment horizontal="left" vertical="center"/>
      <protection locked="0"/>
    </xf>
    <xf numFmtId="0" fontId="22" fillId="0" borderId="2" xfId="99" applyNumberFormat="1" applyFont="1" applyBorder="1" applyAlignment="1" applyProtection="1">
      <alignment horizontal="left" vertical="center"/>
      <protection locked="0"/>
    </xf>
    <xf numFmtId="0" fontId="22" fillId="0" borderId="12" xfId="99" applyNumberFormat="1" applyFont="1" applyBorder="1" applyAlignment="1" applyProtection="1">
      <alignment horizontal="left" vertical="center"/>
      <protection locked="0"/>
    </xf>
    <xf numFmtId="0" fontId="2" fillId="0" borderId="0" xfId="100" applyNumberFormat="1" applyFont="1" applyAlignment="1">
      <alignment vertical="center"/>
    </xf>
    <xf numFmtId="0" fontId="2" fillId="0" borderId="0" xfId="100" applyNumberFormat="1" applyFont="1" applyAlignment="1">
      <alignment horizontal="center" vertical="center"/>
    </xf>
    <xf numFmtId="0" fontId="2" fillId="0" borderId="0" xfId="0" applyNumberFormat="1" applyFont="1" applyFill="1" applyAlignment="1">
      <alignment vertical="center"/>
    </xf>
    <xf numFmtId="0" fontId="2" fillId="0" borderId="0" xfId="0" applyNumberFormat="1" applyFont="1" applyAlignment="1">
      <alignment vertical="center"/>
    </xf>
    <xf numFmtId="0" fontId="22" fillId="0" borderId="0" xfId="100" applyNumberFormat="1" applyFont="1" applyAlignment="1">
      <alignment vertical="center"/>
    </xf>
    <xf numFmtId="0" fontId="22" fillId="0" borderId="0" xfId="100" applyNumberFormat="1" applyFont="1" applyAlignment="1">
      <alignment horizontal="right" vertical="center"/>
    </xf>
    <xf numFmtId="0" fontId="31" fillId="0" borderId="0" xfId="0" applyNumberFormat="1" applyFont="1" applyAlignment="1">
      <alignment vertical="center"/>
    </xf>
    <xf numFmtId="0" fontId="22" fillId="0" borderId="26" xfId="99" applyNumberFormat="1" applyFont="1" applyBorder="1" applyAlignment="1">
      <alignment horizontal="center" vertical="center"/>
    </xf>
    <xf numFmtId="0" fontId="22" fillId="0" borderId="27" xfId="99" applyNumberFormat="1" applyFont="1" applyBorder="1" applyAlignment="1">
      <alignment horizontal="center" vertical="center"/>
    </xf>
    <xf numFmtId="0" fontId="22" fillId="0" borderId="0" xfId="99" applyNumberFormat="1" applyFont="1" applyAlignment="1">
      <alignment vertical="center"/>
    </xf>
    <xf numFmtId="0" fontId="22" fillId="0" borderId="17" xfId="99" applyNumberFormat="1" applyFont="1" applyBorder="1" applyAlignment="1">
      <alignment horizontal="center" vertical="center" wrapText="1"/>
    </xf>
    <xf numFmtId="0" fontId="22" fillId="0" borderId="10" xfId="99" applyNumberFormat="1" applyFont="1" applyBorder="1" applyAlignment="1">
      <alignment horizontal="center" vertical="center" wrapText="1"/>
    </xf>
    <xf numFmtId="0" fontId="22" fillId="0" borderId="11" xfId="99" applyNumberFormat="1" applyFont="1" applyBorder="1" applyAlignment="1">
      <alignment horizontal="center" vertical="center" wrapText="1"/>
    </xf>
    <xf numFmtId="0" fontId="22" fillId="0" borderId="0" xfId="100" applyNumberFormat="1" applyFont="1" applyAlignment="1">
      <alignment horizontal="center" vertical="center"/>
    </xf>
    <xf numFmtId="0" fontId="22" fillId="0" borderId="0" xfId="100" applyNumberFormat="1" applyFont="1" applyBorder="1" applyAlignment="1">
      <alignment horizontal="center" vertical="center"/>
    </xf>
    <xf numFmtId="0" fontId="22" fillId="0" borderId="12" xfId="100" applyNumberFormat="1" applyFont="1" applyBorder="1" applyAlignment="1">
      <alignment horizontal="center" vertical="center" wrapText="1" justifyLastLine="1"/>
    </xf>
    <xf numFmtId="0" fontId="22" fillId="0" borderId="3" xfId="100" applyNumberFormat="1" applyFont="1" applyBorder="1" applyAlignment="1">
      <alignment horizontal="center" vertical="center" wrapText="1" justifyLastLine="1"/>
    </xf>
    <xf numFmtId="0" fontId="22" fillId="0" borderId="0" xfId="0" applyNumberFormat="1" applyFont="1">
      <alignment vertical="center"/>
    </xf>
    <xf numFmtId="0" fontId="22" fillId="0" borderId="0" xfId="100" applyNumberFormat="1" applyFont="1" applyBorder="1" applyAlignment="1">
      <alignment vertical="center"/>
    </xf>
    <xf numFmtId="0" fontId="22" fillId="0" borderId="25" xfId="100" applyNumberFormat="1" applyFont="1" applyBorder="1" applyAlignment="1">
      <alignment horizontal="center" vertical="center"/>
    </xf>
    <xf numFmtId="0" fontId="22" fillId="0" borderId="20" xfId="100" applyNumberFormat="1" applyFont="1" applyBorder="1" applyAlignment="1">
      <alignment horizontal="center" vertical="center"/>
    </xf>
    <xf numFmtId="0" fontId="22" fillId="0" borderId="17" xfId="100" applyNumberFormat="1" applyFont="1" applyBorder="1" applyAlignment="1">
      <alignment horizontal="center" vertical="center" wrapText="1"/>
    </xf>
    <xf numFmtId="0" fontId="22" fillId="0" borderId="7" xfId="100" applyNumberFormat="1" applyFont="1" applyBorder="1" applyAlignment="1">
      <alignment horizontal="center" vertical="center" wrapText="1"/>
    </xf>
    <xf numFmtId="0" fontId="22" fillId="0" borderId="10" xfId="0" applyNumberFormat="1" applyFont="1" applyBorder="1" applyAlignment="1">
      <alignment horizontal="center" vertical="center"/>
    </xf>
    <xf numFmtId="0" fontId="22" fillId="0" borderId="11" xfId="0" applyNumberFormat="1" applyFont="1" applyBorder="1" applyAlignment="1">
      <alignment horizontal="center" vertical="center"/>
    </xf>
    <xf numFmtId="0" fontId="22" fillId="0" borderId="0" xfId="100" applyNumberFormat="1" applyFont="1" applyFill="1" applyAlignment="1">
      <alignment horizontal="center" vertical="center"/>
    </xf>
    <xf numFmtId="0" fontId="22" fillId="0" borderId="2" xfId="97" applyNumberFormat="1" applyFont="1" applyFill="1" applyBorder="1" applyAlignment="1">
      <alignment vertical="center"/>
    </xf>
    <xf numFmtId="0" fontId="22" fillId="0" borderId="0" xfId="97" applyNumberFormat="1" applyFont="1" applyAlignment="1"/>
    <xf numFmtId="180" fontId="22" fillId="0" borderId="8" xfId="97" applyNumberFormat="1" applyFont="1" applyFill="1" applyBorder="1" applyAlignment="1">
      <alignment horizontal="right" vertical="center"/>
    </xf>
    <xf numFmtId="180" fontId="22" fillId="0" borderId="0" xfId="97" applyNumberFormat="1" applyFont="1" applyFill="1" applyBorder="1" applyAlignment="1">
      <alignment horizontal="right" vertical="center"/>
    </xf>
    <xf numFmtId="41" fontId="22" fillId="0" borderId="0" xfId="97" applyNumberFormat="1" applyFont="1" applyBorder="1" applyAlignment="1">
      <alignment horizontal="right" vertical="center" wrapText="1" justifyLastLine="1"/>
    </xf>
    <xf numFmtId="2" fontId="22" fillId="0" borderId="0" xfId="97" applyNumberFormat="1" applyFont="1" applyAlignment="1">
      <alignment horizontal="center" vertical="center"/>
    </xf>
    <xf numFmtId="3" fontId="22" fillId="0" borderId="0" xfId="100" applyNumberFormat="1" applyFont="1" applyFill="1" applyBorder="1" applyAlignment="1">
      <alignment vertical="center"/>
    </xf>
    <xf numFmtId="0" fontId="40" fillId="0" borderId="0" xfId="97" applyNumberFormat="1" applyFont="1" applyFill="1" applyAlignment="1">
      <alignment horizontal="left" vertical="center"/>
    </xf>
    <xf numFmtId="0" fontId="65" fillId="0" borderId="0" xfId="97" applyFont="1" applyAlignment="1">
      <alignment horizontal="center" vertical="center"/>
    </xf>
    <xf numFmtId="176" fontId="22" fillId="0" borderId="0" xfId="97" applyNumberFormat="1" applyFont="1" applyFill="1" applyBorder="1" applyAlignment="1">
      <alignment horizontal="center" vertical="center"/>
    </xf>
    <xf numFmtId="176" fontId="22" fillId="0" borderId="0" xfId="97" applyNumberFormat="1" applyFont="1" applyAlignment="1">
      <alignment horizontal="center" vertical="center"/>
    </xf>
    <xf numFmtId="0" fontId="22" fillId="0" borderId="10" xfId="97" applyNumberFormat="1" applyFont="1" applyFill="1" applyBorder="1" applyAlignment="1">
      <alignment horizontal="center" vertical="center"/>
    </xf>
    <xf numFmtId="0" fontId="22" fillId="0" borderId="3" xfId="97" applyNumberFormat="1" applyFont="1" applyFill="1" applyBorder="1" applyAlignment="1">
      <alignment vertical="center"/>
    </xf>
    <xf numFmtId="184" fontId="22" fillId="0" borderId="0" xfId="97" applyNumberFormat="1" applyFont="1" applyFill="1" applyAlignment="1">
      <alignment horizontal="center" vertical="center"/>
    </xf>
    <xf numFmtId="0" fontId="22" fillId="0" borderId="2" xfId="97" applyNumberFormat="1" applyFont="1" applyFill="1" applyBorder="1" applyAlignment="1">
      <alignment horizontal="left" vertical="center"/>
    </xf>
    <xf numFmtId="0" fontId="22" fillId="0" borderId="12" xfId="97" applyNumberFormat="1" applyFont="1" applyFill="1" applyBorder="1" applyAlignment="1">
      <alignment horizontal="left" vertical="center"/>
    </xf>
    <xf numFmtId="183" fontId="22" fillId="0" borderId="0" xfId="0" applyNumberFormat="1" applyFont="1" applyFill="1" applyBorder="1" applyAlignment="1">
      <alignment horizontal="right" vertical="center"/>
    </xf>
    <xf numFmtId="0" fontId="22" fillId="0" borderId="0" xfId="97" applyNumberFormat="1" applyFont="1" applyFill="1" applyBorder="1" applyAlignment="1">
      <alignment horizontal="right" vertical="center"/>
    </xf>
    <xf numFmtId="0" fontId="22" fillId="0" borderId="0" xfId="112" applyNumberFormat="1" applyFont="1" applyFill="1" applyBorder="1" applyAlignment="1" applyProtection="1">
      <alignment vertical="center"/>
    </xf>
    <xf numFmtId="0" fontId="22" fillId="0" borderId="0" xfId="0" applyFont="1" applyFill="1">
      <alignment vertical="center"/>
    </xf>
    <xf numFmtId="0" fontId="22" fillId="0" borderId="0" xfId="0" applyFont="1" applyFill="1" applyBorder="1">
      <alignment vertical="center"/>
    </xf>
    <xf numFmtId="0" fontId="22" fillId="0" borderId="0" xfId="95" applyNumberFormat="1" applyFont="1" applyFill="1"/>
    <xf numFmtId="0" fontId="22" fillId="0" borderId="0" xfId="95" applyFont="1" applyFill="1"/>
    <xf numFmtId="0" fontId="22" fillId="0" borderId="0" xfId="95" applyFont="1" applyFill="1" applyBorder="1"/>
    <xf numFmtId="0" fontId="22" fillId="0" borderId="17" xfId="0" applyNumberFormat="1" applyFont="1" applyFill="1" applyBorder="1" applyAlignment="1">
      <alignment horizontal="center" vertical="center" wrapText="1"/>
    </xf>
    <xf numFmtId="0" fontId="22" fillId="0" borderId="11" xfId="0" applyNumberFormat="1" applyFont="1" applyFill="1" applyBorder="1" applyAlignment="1">
      <alignment horizontal="center" vertical="center" wrapText="1"/>
    </xf>
    <xf numFmtId="0" fontId="2" fillId="0" borderId="7" xfId="0" applyNumberFormat="1" applyFont="1" applyFill="1" applyBorder="1" applyAlignment="1">
      <alignment horizontal="center" vertical="center" wrapText="1"/>
    </xf>
    <xf numFmtId="0" fontId="22" fillId="0" borderId="3" xfId="97" applyNumberFormat="1" applyFont="1" applyFill="1" applyBorder="1" applyAlignment="1">
      <alignment horizontal="left" vertical="center" wrapText="1"/>
    </xf>
    <xf numFmtId="177" fontId="22" fillId="0" borderId="0" xfId="97" applyNumberFormat="1" applyFont="1" applyFill="1" applyAlignment="1">
      <alignment horizontal="center" vertical="center"/>
    </xf>
    <xf numFmtId="0" fontId="22" fillId="0" borderId="2" xfId="97" applyNumberFormat="1" applyFont="1" applyFill="1" applyBorder="1" applyAlignment="1">
      <alignment horizontal="right" vertical="center"/>
    </xf>
    <xf numFmtId="0" fontId="22" fillId="0" borderId="0" xfId="97" applyFont="1" applyFill="1" applyAlignment="1">
      <alignment horizontal="center" vertical="center" wrapText="1"/>
    </xf>
    <xf numFmtId="0" fontId="22" fillId="0" borderId="28" xfId="97" applyNumberFormat="1" applyFont="1" applyFill="1" applyBorder="1" applyAlignment="1">
      <alignment vertical="center"/>
    </xf>
    <xf numFmtId="41" fontId="22" fillId="0" borderId="0" xfId="97" applyNumberFormat="1" applyFont="1" applyFill="1" applyAlignment="1">
      <alignment horizontal="center" vertical="center"/>
    </xf>
    <xf numFmtId="41" fontId="22" fillId="0" borderId="0" xfId="97" applyNumberFormat="1" applyFont="1" applyFill="1" applyBorder="1" applyAlignment="1">
      <alignment horizontal="center" vertical="center"/>
    </xf>
    <xf numFmtId="41" fontId="22" fillId="0" borderId="0" xfId="97" applyNumberFormat="1" applyFont="1" applyFill="1" applyBorder="1" applyAlignment="1">
      <alignment horizontal="center" vertical="top"/>
    </xf>
    <xf numFmtId="41" fontId="22" fillId="0" borderId="0" xfId="97" applyNumberFormat="1" applyFont="1" applyFill="1" applyAlignment="1">
      <alignment horizontal="center" vertical="center" wrapText="1"/>
    </xf>
    <xf numFmtId="41" fontId="22" fillId="0" borderId="0" xfId="97" applyNumberFormat="1" applyFont="1" applyFill="1" applyAlignment="1">
      <alignment horizontal="center" vertical="top"/>
    </xf>
    <xf numFmtId="0" fontId="39" fillId="0" borderId="0" xfId="97" applyNumberFormat="1" applyFont="1" applyFill="1" applyAlignment="1">
      <alignment horizontal="center" vertical="center"/>
    </xf>
    <xf numFmtId="0" fontId="66" fillId="0" borderId="0" xfId="97" applyFont="1" applyFill="1" applyAlignment="1">
      <alignment horizontal="center" vertical="center"/>
    </xf>
    <xf numFmtId="0" fontId="22" fillId="0" borderId="0" xfId="97" applyNumberFormat="1" applyFont="1" applyFill="1" applyBorder="1" applyAlignment="1">
      <alignment horizontal="left" vertical="center" wrapText="1" justifyLastLine="1"/>
    </xf>
    <xf numFmtId="41" fontId="22" fillId="0" borderId="0" xfId="0" applyNumberFormat="1" applyFont="1" applyBorder="1" applyAlignment="1">
      <alignment horizontal="right" vertical="center"/>
    </xf>
    <xf numFmtId="41" fontId="22" fillId="0" borderId="0" xfId="0" applyNumberFormat="1" applyFont="1" applyAlignment="1">
      <alignment horizontal="right" vertical="center"/>
    </xf>
    <xf numFmtId="41" fontId="22" fillId="0" borderId="0" xfId="112" applyNumberFormat="1" applyFont="1" applyBorder="1" applyAlignment="1" applyProtection="1">
      <alignment horizontal="right" vertical="center"/>
    </xf>
    <xf numFmtId="41" fontId="22" fillId="0" borderId="0" xfId="112" applyNumberFormat="1" applyFont="1" applyFill="1" applyBorder="1" applyAlignment="1" applyProtection="1">
      <alignment horizontal="right" vertical="center"/>
    </xf>
    <xf numFmtId="185" fontId="22" fillId="0" borderId="0" xfId="97" applyNumberFormat="1" applyFont="1" applyFill="1" applyAlignment="1">
      <alignment horizontal="center" vertical="center"/>
    </xf>
    <xf numFmtId="185" fontId="22" fillId="0" borderId="0" xfId="97" applyNumberFormat="1" applyFont="1" applyFill="1" applyBorder="1" applyAlignment="1">
      <alignment horizontal="center" vertical="center"/>
    </xf>
    <xf numFmtId="0" fontId="68" fillId="0" borderId="0" xfId="97" applyNumberFormat="1" applyFont="1" applyFill="1" applyBorder="1" applyAlignment="1">
      <alignment vertical="center"/>
    </xf>
    <xf numFmtId="185" fontId="22" fillId="0" borderId="0" xfId="97" applyNumberFormat="1" applyFont="1" applyFill="1" applyBorder="1" applyAlignment="1">
      <alignment horizontal="right" vertical="center"/>
    </xf>
    <xf numFmtId="185" fontId="22" fillId="0" borderId="8" xfId="97" applyNumberFormat="1" applyFont="1" applyFill="1" applyBorder="1" applyAlignment="1">
      <alignment horizontal="right" vertical="center"/>
    </xf>
    <xf numFmtId="185" fontId="22" fillId="0" borderId="0" xfId="97" applyNumberFormat="1" applyFont="1" applyFill="1" applyBorder="1" applyAlignment="1">
      <alignment vertical="center"/>
    </xf>
    <xf numFmtId="0" fontId="2" fillId="0" borderId="29" xfId="97" applyNumberFormat="1" applyFont="1" applyFill="1" applyBorder="1" applyAlignment="1">
      <alignment horizontal="center" vertical="center" wrapText="1"/>
    </xf>
    <xf numFmtId="0" fontId="22" fillId="0" borderId="0" xfId="100" applyNumberFormat="1" applyFont="1" applyFill="1" applyAlignment="1">
      <alignment vertical="center"/>
    </xf>
    <xf numFmtId="0" fontId="33" fillId="0" borderId="4" xfId="97" applyNumberFormat="1" applyFont="1" applyFill="1" applyBorder="1" applyAlignment="1">
      <alignment horizontal="center" vertical="center" wrapText="1"/>
    </xf>
    <xf numFmtId="0" fontId="69" fillId="0" borderId="0" xfId="97" applyFont="1" applyAlignment="1">
      <alignment horizontal="center" vertical="center"/>
    </xf>
    <xf numFmtId="0" fontId="22" fillId="0" borderId="30" xfId="97" applyNumberFormat="1" applyFont="1" applyBorder="1" applyAlignment="1">
      <alignment horizontal="center" vertical="center"/>
    </xf>
    <xf numFmtId="0" fontId="22" fillId="0" borderId="26" xfId="99" applyNumberFormat="1" applyFont="1" applyBorder="1" applyAlignment="1">
      <alignment horizontal="centerContinuous" vertical="center"/>
    </xf>
    <xf numFmtId="0" fontId="2" fillId="0" borderId="0" xfId="0" applyNumberFormat="1" applyFont="1" applyFill="1" applyAlignment="1">
      <alignment horizontal="center" vertical="center"/>
    </xf>
    <xf numFmtId="0" fontId="2" fillId="0" borderId="0" xfId="97" applyNumberFormat="1" applyFont="1" applyFill="1" applyAlignment="1">
      <alignment horizontal="center" vertical="center"/>
    </xf>
    <xf numFmtId="0" fontId="2" fillId="0" borderId="0" xfId="0" applyNumberFormat="1" applyFont="1" applyFill="1" applyAlignment="1">
      <alignment horizontal="right" vertical="center"/>
    </xf>
    <xf numFmtId="0" fontId="2" fillId="0" borderId="0" xfId="0" applyNumberFormat="1" applyFont="1" applyFill="1" applyBorder="1" applyAlignment="1">
      <alignment horizontal="center" vertical="center"/>
    </xf>
    <xf numFmtId="0" fontId="2" fillId="0" borderId="0" xfId="0" applyNumberFormat="1" applyFont="1" applyFill="1" applyBorder="1" applyAlignment="1">
      <alignment horizontal="right" vertical="center"/>
    </xf>
    <xf numFmtId="0" fontId="2" fillId="0" borderId="0" xfId="95" applyNumberFormat="1" applyFont="1" applyFill="1" applyAlignment="1">
      <alignment horizontal="center" vertical="center"/>
    </xf>
    <xf numFmtId="0" fontId="70" fillId="0" borderId="0" xfId="95" applyNumberFormat="1" applyFont="1" applyFill="1" applyAlignment="1">
      <alignment horizontal="center" vertical="center"/>
    </xf>
    <xf numFmtId="0" fontId="2" fillId="0" borderId="3" xfId="97" applyNumberFormat="1" applyFont="1" applyFill="1" applyBorder="1" applyAlignment="1">
      <alignment horizontal="center" vertical="center" wrapText="1" justifyLastLine="1"/>
    </xf>
    <xf numFmtId="0" fontId="2" fillId="0" borderId="0" xfId="0" applyFont="1" applyFill="1" applyAlignment="1">
      <alignment vertical="center"/>
    </xf>
    <xf numFmtId="3" fontId="2" fillId="0" borderId="0" xfId="112" applyNumberFormat="1" applyFont="1" applyFill="1" applyBorder="1" applyAlignment="1" applyProtection="1">
      <alignment horizontal="right" vertical="center"/>
    </xf>
    <xf numFmtId="0" fontId="2" fillId="0" borderId="0" xfId="95" applyFont="1" applyFill="1" applyAlignment="1">
      <alignment vertical="center"/>
    </xf>
    <xf numFmtId="0" fontId="2" fillId="0" borderId="18" xfId="97" applyNumberFormat="1" applyFont="1" applyFill="1" applyBorder="1" applyAlignment="1">
      <alignment horizontal="center" vertical="center" wrapText="1" justifyLastLine="1"/>
    </xf>
    <xf numFmtId="3" fontId="2" fillId="0" borderId="18" xfId="112" applyNumberFormat="1" applyFont="1" applyFill="1" applyBorder="1" applyAlignment="1" applyProtection="1">
      <alignment horizontal="right" vertical="center"/>
    </xf>
    <xf numFmtId="3" fontId="2" fillId="0" borderId="13" xfId="112" applyNumberFormat="1" applyFont="1" applyFill="1" applyBorder="1" applyAlignment="1" applyProtection="1">
      <alignment horizontal="right" vertical="center"/>
    </xf>
    <xf numFmtId="3" fontId="2" fillId="0" borderId="0" xfId="95" applyNumberFormat="1" applyFont="1" applyFill="1" applyBorder="1" applyAlignment="1">
      <alignment vertical="center"/>
    </xf>
    <xf numFmtId="0" fontId="2" fillId="0" borderId="0" xfId="95" applyFont="1" applyFill="1" applyBorder="1" applyAlignment="1">
      <alignment vertical="center"/>
    </xf>
    <xf numFmtId="0" fontId="2" fillId="0" borderId="12" xfId="97" applyNumberFormat="1" applyFont="1" applyFill="1" applyBorder="1" applyAlignment="1">
      <alignment horizontal="center" vertical="center" wrapText="1" justifyLastLine="1"/>
    </xf>
    <xf numFmtId="0" fontId="2" fillId="0" borderId="13" xfId="97" applyNumberFormat="1" applyFont="1" applyFill="1" applyBorder="1" applyAlignment="1">
      <alignment horizontal="center" vertical="center" wrapText="1" justifyLastLine="1"/>
    </xf>
    <xf numFmtId="0" fontId="2" fillId="0" borderId="0" xfId="0" applyFont="1" applyFill="1" applyBorder="1" applyAlignment="1">
      <alignment vertical="center"/>
    </xf>
    <xf numFmtId="0" fontId="2" fillId="0" borderId="0" xfId="0" applyNumberFormat="1" applyFont="1" applyFill="1" applyBorder="1" applyAlignment="1">
      <alignment vertical="center"/>
    </xf>
    <xf numFmtId="0" fontId="2" fillId="0" borderId="0" xfId="97" applyNumberFormat="1" applyFont="1" applyFill="1" applyAlignment="1">
      <alignment vertical="center"/>
    </xf>
    <xf numFmtId="0" fontId="2" fillId="0" borderId="0" xfId="95" applyNumberFormat="1" applyFont="1" applyFill="1" applyAlignment="1">
      <alignment vertical="center"/>
    </xf>
    <xf numFmtId="0" fontId="10" fillId="0" borderId="7" xfId="95" applyNumberFormat="1" applyFont="1" applyFill="1" applyBorder="1" applyAlignment="1">
      <alignment horizontal="center" vertical="center" wrapText="1"/>
    </xf>
    <xf numFmtId="184" fontId="22" fillId="33" borderId="0" xfId="97" applyNumberFormat="1" applyFont="1" applyFill="1" applyBorder="1" applyAlignment="1">
      <alignment horizontal="right" vertical="center"/>
    </xf>
    <xf numFmtId="186" fontId="22" fillId="0" borderId="0" xfId="97" applyNumberFormat="1" applyFont="1" applyAlignment="1">
      <alignment horizontal="right" vertical="center"/>
    </xf>
    <xf numFmtId="176" fontId="67" fillId="0" borderId="0" xfId="97" applyNumberFormat="1" applyFont="1" applyBorder="1" applyAlignment="1">
      <alignment vertical="center"/>
    </xf>
    <xf numFmtId="176" fontId="67" fillId="0" borderId="0" xfId="97" applyNumberFormat="1" applyFont="1" applyFill="1" applyBorder="1" applyAlignment="1">
      <alignment vertical="center"/>
    </xf>
    <xf numFmtId="176" fontId="67" fillId="0" borderId="8" xfId="97" applyNumberFormat="1" applyFont="1" applyBorder="1" applyAlignment="1">
      <alignment vertical="center"/>
    </xf>
    <xf numFmtId="0" fontId="22" fillId="34" borderId="0" xfId="97" applyFont="1" applyFill="1" applyBorder="1" applyAlignment="1">
      <alignment horizontal="center" vertical="center"/>
    </xf>
    <xf numFmtId="0" fontId="22" fillId="35" borderId="0" xfId="97" applyFont="1" applyFill="1" applyBorder="1" applyAlignment="1">
      <alignment horizontal="center" vertical="center"/>
    </xf>
    <xf numFmtId="41" fontId="22" fillId="0" borderId="8" xfId="0" applyNumberFormat="1" applyFont="1" applyBorder="1" applyAlignment="1">
      <alignment horizontal="right" vertical="center"/>
    </xf>
    <xf numFmtId="41" fontId="22" fillId="36" borderId="0" xfId="97" applyNumberFormat="1" applyFont="1" applyFill="1" applyAlignment="1">
      <alignment horizontal="center" vertical="center"/>
    </xf>
    <xf numFmtId="185" fontId="22" fillId="36" borderId="0" xfId="97" applyNumberFormat="1" applyFont="1" applyFill="1" applyAlignment="1">
      <alignment horizontal="center" vertical="center"/>
    </xf>
    <xf numFmtId="3" fontId="22" fillId="0" borderId="0" xfId="100" applyNumberFormat="1" applyFont="1" applyFill="1" applyBorder="1" applyAlignment="1">
      <alignment horizontal="right" vertical="center"/>
    </xf>
    <xf numFmtId="0" fontId="22" fillId="37" borderId="0" xfId="0" applyFont="1" applyFill="1">
      <alignment vertical="center"/>
    </xf>
    <xf numFmtId="176" fontId="22" fillId="35" borderId="0" xfId="0" applyNumberFormat="1" applyFont="1" applyFill="1" applyBorder="1" applyAlignment="1">
      <alignment horizontal="right" vertical="center"/>
    </xf>
    <xf numFmtId="0" fontId="22" fillId="35" borderId="0" xfId="95" applyFont="1" applyFill="1"/>
    <xf numFmtId="0" fontId="22" fillId="37" borderId="0" xfId="97" applyFont="1" applyFill="1" applyAlignment="1">
      <alignment horizontal="center" vertical="center"/>
    </xf>
    <xf numFmtId="41" fontId="22" fillId="0" borderId="0" xfId="97" applyNumberFormat="1" applyFont="1" applyFill="1" applyAlignment="1">
      <alignment horizontal="right" vertical="center"/>
    </xf>
    <xf numFmtId="41" fontId="22" fillId="0" borderId="0" xfId="102" applyNumberFormat="1" applyFont="1" applyFill="1" applyBorder="1" applyAlignment="1">
      <alignment vertical="center"/>
    </xf>
    <xf numFmtId="41" fontId="22" fillId="0" borderId="9" xfId="97" applyNumberFormat="1" applyFont="1" applyFill="1" applyBorder="1" applyAlignment="1">
      <alignment horizontal="right" vertical="center"/>
    </xf>
    <xf numFmtId="180" fontId="22" fillId="0" borderId="2" xfId="97" applyNumberFormat="1" applyFont="1" applyFill="1" applyBorder="1" applyAlignment="1">
      <alignment horizontal="right" vertical="center"/>
    </xf>
    <xf numFmtId="41" fontId="22" fillId="0" borderId="2" xfId="97" applyNumberFormat="1" applyFont="1" applyFill="1" applyBorder="1" applyAlignment="1">
      <alignment horizontal="right" vertical="center"/>
    </xf>
    <xf numFmtId="177" fontId="22" fillId="0" borderId="2" xfId="97" applyNumberFormat="1" applyFont="1" applyFill="1" applyBorder="1" applyAlignment="1">
      <alignment horizontal="right" vertical="center"/>
    </xf>
    <xf numFmtId="176" fontId="22" fillId="0" borderId="2" xfId="97" applyNumberFormat="1" applyFont="1" applyFill="1" applyBorder="1" applyAlignment="1">
      <alignment horizontal="right" vertical="center"/>
    </xf>
    <xf numFmtId="176" fontId="22" fillId="0" borderId="9" xfId="97" applyNumberFormat="1" applyFont="1" applyFill="1" applyBorder="1" applyAlignment="1">
      <alignment horizontal="right" vertical="center"/>
    </xf>
    <xf numFmtId="177" fontId="22" fillId="0" borderId="2" xfId="97" applyNumberFormat="1" applyFont="1" applyFill="1" applyBorder="1" applyAlignment="1">
      <alignment vertical="center"/>
    </xf>
    <xf numFmtId="176" fontId="22" fillId="0" borderId="2" xfId="97" applyNumberFormat="1" applyFont="1" applyFill="1" applyBorder="1" applyAlignment="1">
      <alignment vertical="center"/>
    </xf>
    <xf numFmtId="41" fontId="22" fillId="0" borderId="2" xfId="102" applyNumberFormat="1" applyFont="1" applyFill="1" applyBorder="1" applyAlignment="1">
      <alignment horizontal="right" vertical="center"/>
    </xf>
    <xf numFmtId="177" fontId="22" fillId="0" borderId="0" xfId="0" applyNumberFormat="1" applyFont="1" applyFill="1" applyBorder="1" applyAlignment="1">
      <alignment horizontal="right" vertical="center"/>
    </xf>
    <xf numFmtId="176" fontId="22" fillId="0" borderId="9" xfId="0" applyNumberFormat="1" applyFont="1" applyFill="1" applyBorder="1" applyAlignment="1">
      <alignment horizontal="right" vertical="center"/>
    </xf>
    <xf numFmtId="177" fontId="22" fillId="0" borderId="2" xfId="0" applyNumberFormat="1" applyFont="1" applyFill="1" applyBorder="1" applyAlignment="1">
      <alignment horizontal="right" vertical="center"/>
    </xf>
    <xf numFmtId="0" fontId="25" fillId="0" borderId="12" xfId="97" applyNumberFormat="1" applyFont="1" applyFill="1" applyBorder="1" applyAlignment="1">
      <alignment horizontal="center" vertical="center" wrapText="1" justifyLastLine="1"/>
    </xf>
    <xf numFmtId="0" fontId="25" fillId="0" borderId="12" xfId="97" applyNumberFormat="1" applyFont="1" applyFill="1" applyBorder="1" applyAlignment="1">
      <alignment horizontal="center" vertical="center" wrapText="1"/>
    </xf>
    <xf numFmtId="176" fontId="67" fillId="0" borderId="9" xfId="97" applyNumberFormat="1" applyFont="1" applyFill="1" applyBorder="1" applyAlignment="1">
      <alignment vertical="center"/>
    </xf>
    <xf numFmtId="176" fontId="67" fillId="0" borderId="2" xfId="97" applyNumberFormat="1" applyFont="1" applyFill="1" applyBorder="1" applyAlignment="1">
      <alignment vertical="center"/>
    </xf>
    <xf numFmtId="185" fontId="22" fillId="0" borderId="0" xfId="97" applyNumberFormat="1" applyFont="1" applyFill="1" applyBorder="1" applyAlignment="1">
      <alignment horizontal="right"/>
    </xf>
    <xf numFmtId="0" fontId="22" fillId="0" borderId="3" xfId="97" applyNumberFormat="1" applyFont="1" applyFill="1" applyBorder="1" applyAlignment="1">
      <alignment horizontal="left" wrapText="1"/>
    </xf>
    <xf numFmtId="185" fontId="22" fillId="0" borderId="0" xfId="97" applyNumberFormat="1" applyFont="1" applyFill="1" applyBorder="1" applyAlignment="1">
      <alignment horizontal="right" vertical="top"/>
    </xf>
    <xf numFmtId="185" fontId="22" fillId="0" borderId="0" xfId="97" applyNumberFormat="1" applyFont="1" applyFill="1" applyBorder="1" applyAlignment="1">
      <alignment horizontal="center" wrapText="1"/>
    </xf>
    <xf numFmtId="185" fontId="22" fillId="0" borderId="0" xfId="0" applyNumberFormat="1" applyFont="1" applyFill="1" applyBorder="1" applyAlignment="1">
      <alignment horizontal="center" wrapText="1"/>
    </xf>
    <xf numFmtId="0" fontId="22" fillId="0" borderId="12" xfId="97" applyNumberFormat="1" applyFont="1" applyFill="1" applyBorder="1" applyAlignment="1">
      <alignment horizontal="left" vertical="center" wrapText="1"/>
    </xf>
    <xf numFmtId="43" fontId="22" fillId="0" borderId="2" xfId="97" applyNumberFormat="1" applyFont="1" applyFill="1" applyBorder="1" applyAlignment="1">
      <alignment horizontal="right"/>
    </xf>
    <xf numFmtId="43" fontId="22" fillId="0" borderId="0" xfId="97" applyNumberFormat="1" applyFont="1" applyFill="1" applyBorder="1" applyAlignment="1">
      <alignment horizontal="right"/>
    </xf>
    <xf numFmtId="41" fontId="22" fillId="0" borderId="0" xfId="97" applyNumberFormat="1" applyFont="1" applyFill="1" applyBorder="1" applyAlignment="1">
      <alignment horizontal="right"/>
    </xf>
    <xf numFmtId="0" fontId="22" fillId="0" borderId="9" xfId="97" applyNumberFormat="1" applyFont="1" applyFill="1" applyBorder="1" applyAlignment="1">
      <alignment horizontal="right" vertical="center"/>
    </xf>
    <xf numFmtId="0" fontId="22" fillId="0" borderId="2" xfId="0" applyNumberFormat="1" applyFont="1" applyFill="1" applyBorder="1" applyAlignment="1">
      <alignment vertical="center"/>
    </xf>
    <xf numFmtId="177" fontId="22" fillId="0" borderId="0" xfId="97" applyNumberFormat="1" applyFont="1" applyFill="1" applyBorder="1" applyAlignment="1">
      <alignment horizontal="right"/>
    </xf>
    <xf numFmtId="182" fontId="22" fillId="0" borderId="0" xfId="97" applyNumberFormat="1" applyFont="1" applyFill="1" applyBorder="1" applyAlignment="1">
      <alignment horizontal="right" vertical="center"/>
    </xf>
    <xf numFmtId="0" fontId="22" fillId="0" borderId="2" xfId="97" applyFont="1" applyFill="1" applyBorder="1" applyAlignment="1">
      <alignment horizontal="center" vertical="center"/>
    </xf>
    <xf numFmtId="0" fontId="22" fillId="0" borderId="2" xfId="97" applyFont="1" applyFill="1" applyBorder="1" applyAlignment="1">
      <alignment horizontal="left" vertical="center"/>
    </xf>
    <xf numFmtId="185" fontId="22" fillId="0" borderId="0" xfId="97" applyNumberFormat="1" applyFont="1" applyFill="1" applyAlignment="1">
      <alignment horizontal="right"/>
    </xf>
    <xf numFmtId="185" fontId="22" fillId="0" borderId="0" xfId="97" applyNumberFormat="1" applyFont="1" applyFill="1" applyAlignment="1">
      <alignment horizontal="right" vertical="center"/>
    </xf>
    <xf numFmtId="185" fontId="22" fillId="0" borderId="0" xfId="97" applyNumberFormat="1" applyFont="1" applyFill="1" applyBorder="1" applyAlignment="1"/>
    <xf numFmtId="43" fontId="22" fillId="0" borderId="0" xfId="97" applyNumberFormat="1" applyFont="1" applyFill="1" applyBorder="1" applyAlignment="1">
      <alignment horizontal="right" vertical="center"/>
    </xf>
    <xf numFmtId="43" fontId="22" fillId="0" borderId="2" xfId="97" applyNumberFormat="1" applyFont="1" applyFill="1" applyBorder="1" applyAlignment="1">
      <alignment horizontal="right" vertical="center"/>
    </xf>
    <xf numFmtId="176" fontId="22" fillId="0" borderId="12" xfId="97" applyNumberFormat="1" applyFont="1" applyFill="1" applyBorder="1" applyAlignment="1">
      <alignment horizontal="center" vertical="center" wrapText="1"/>
    </xf>
    <xf numFmtId="176" fontId="22" fillId="0" borderId="0" xfId="97" applyNumberFormat="1" applyFont="1" applyFill="1" applyBorder="1" applyAlignment="1">
      <alignment horizontal="right" vertical="center" justifyLastLine="1"/>
    </xf>
    <xf numFmtId="3" fontId="22" fillId="0" borderId="0" xfId="97" applyNumberFormat="1" applyFont="1" applyFill="1" applyBorder="1" applyAlignment="1">
      <alignment horizontal="right" vertical="center" justifyLastLine="1"/>
    </xf>
    <xf numFmtId="3" fontId="22" fillId="0" borderId="2" xfId="97" applyNumberFormat="1" applyFont="1" applyFill="1" applyBorder="1" applyAlignment="1">
      <alignment horizontal="right" vertical="center" justifyLastLine="1"/>
    </xf>
    <xf numFmtId="176" fontId="22" fillId="0" borderId="2" xfId="97" applyNumberFormat="1" applyFont="1" applyFill="1" applyBorder="1" applyAlignment="1">
      <alignment horizontal="right" vertical="center" justifyLastLine="1"/>
    </xf>
    <xf numFmtId="177" fontId="22" fillId="0" borderId="0" xfId="97" applyNumberFormat="1" applyFont="1" applyFill="1" applyBorder="1" applyAlignment="1">
      <alignment horizontal="right" vertical="center" wrapText="1"/>
    </xf>
    <xf numFmtId="41" fontId="22" fillId="0" borderId="0" xfId="97" applyNumberFormat="1" applyFont="1" applyBorder="1" applyAlignment="1">
      <alignment horizontal="right" vertical="center" wrapText="1"/>
    </xf>
    <xf numFmtId="41" fontId="22" fillId="0" borderId="0" xfId="97" applyNumberFormat="1" applyFont="1" applyFill="1" applyBorder="1" applyAlignment="1">
      <alignment horizontal="right" vertical="center" wrapText="1" justifyLastLine="1"/>
    </xf>
    <xf numFmtId="41" fontId="22" fillId="0" borderId="0" xfId="97" applyNumberFormat="1" applyFont="1" applyFill="1" applyBorder="1" applyAlignment="1">
      <alignment horizontal="right" vertical="center" wrapText="1"/>
    </xf>
    <xf numFmtId="41" fontId="22" fillId="0" borderId="0" xfId="97" applyNumberFormat="1" applyFont="1" applyFill="1" applyAlignment="1">
      <alignment horizontal="right" vertical="center" wrapText="1"/>
    </xf>
    <xf numFmtId="41" fontId="22" fillId="0" borderId="0" xfId="105" applyNumberFormat="1" applyFont="1" applyFill="1" applyBorder="1" applyAlignment="1">
      <alignment horizontal="right" vertical="center" wrapText="1"/>
    </xf>
    <xf numFmtId="41" fontId="22" fillId="0" borderId="2" xfId="97" applyNumberFormat="1" applyFont="1" applyFill="1" applyBorder="1" applyAlignment="1">
      <alignment horizontal="right" vertical="center" wrapText="1"/>
    </xf>
    <xf numFmtId="177" fontId="22" fillId="0" borderId="2" xfId="97" applyNumberFormat="1" applyFont="1" applyFill="1" applyBorder="1" applyAlignment="1">
      <alignment horizontal="right" vertical="center" wrapText="1"/>
    </xf>
    <xf numFmtId="0" fontId="22" fillId="0" borderId="0" xfId="97" applyNumberFormat="1" applyFont="1" applyBorder="1" applyAlignment="1">
      <alignment horizontal="right" vertical="center" wrapText="1"/>
    </xf>
    <xf numFmtId="0" fontId="22" fillId="0" borderId="0" xfId="97" applyNumberFormat="1" applyFont="1" applyBorder="1" applyAlignment="1">
      <alignment horizontal="left" vertical="center" wrapText="1"/>
    </xf>
    <xf numFmtId="41" fontId="22" fillId="0" borderId="0" xfId="0" applyNumberFormat="1" applyFont="1" applyFill="1" applyBorder="1" applyAlignment="1">
      <alignment horizontal="right" vertical="center" wrapText="1"/>
    </xf>
    <xf numFmtId="41" fontId="22" fillId="0" borderId="2" xfId="105" applyNumberFormat="1" applyFont="1" applyFill="1" applyBorder="1" applyAlignment="1">
      <alignment horizontal="right" vertical="center" wrapText="1"/>
    </xf>
    <xf numFmtId="176" fontId="22" fillId="0" borderId="0" xfId="97" applyNumberFormat="1" applyFont="1" applyBorder="1" applyAlignment="1">
      <alignment horizontal="right" vertical="center" wrapText="1"/>
    </xf>
    <xf numFmtId="184" fontId="22" fillId="0" borderId="0" xfId="97" applyNumberFormat="1" applyFont="1" applyFill="1" applyBorder="1" applyAlignment="1">
      <alignment horizontal="right" vertical="center"/>
    </xf>
    <xf numFmtId="184" fontId="22" fillId="0" borderId="0" xfId="97" quotePrefix="1" applyNumberFormat="1" applyFont="1" applyFill="1" applyBorder="1" applyAlignment="1">
      <alignment horizontal="right" vertical="center"/>
    </xf>
    <xf numFmtId="184" fontId="22" fillId="0" borderId="0" xfId="103" applyNumberFormat="1" applyFont="1" applyFill="1" applyBorder="1" applyAlignment="1">
      <alignment horizontal="right" vertical="center"/>
    </xf>
    <xf numFmtId="184" fontId="22" fillId="0" borderId="8" xfId="97" applyNumberFormat="1" applyFont="1" applyFill="1" applyBorder="1" applyAlignment="1">
      <alignment horizontal="right" vertical="center"/>
    </xf>
    <xf numFmtId="184" fontId="22" fillId="0" borderId="0" xfId="0" applyNumberFormat="1" applyFont="1" applyFill="1" applyBorder="1" applyAlignment="1">
      <alignment horizontal="right" vertical="center"/>
    </xf>
    <xf numFmtId="184" fontId="22" fillId="0" borderId="8" xfId="103" applyNumberFormat="1" applyFont="1" applyFill="1" applyBorder="1" applyAlignment="1">
      <alignment horizontal="right" vertical="center"/>
    </xf>
    <xf numFmtId="184" fontId="22" fillId="0" borderId="9" xfId="97" applyNumberFormat="1" applyFont="1" applyFill="1" applyBorder="1" applyAlignment="1">
      <alignment horizontal="right" vertical="center"/>
    </xf>
    <xf numFmtId="184" fontId="22" fillId="0" borderId="2" xfId="103" applyNumberFormat="1" applyFont="1" applyFill="1" applyBorder="1" applyAlignment="1">
      <alignment horizontal="right" vertical="center"/>
    </xf>
    <xf numFmtId="184" fontId="22" fillId="0" borderId="2" xfId="97" applyNumberFormat="1" applyFont="1" applyFill="1" applyBorder="1" applyAlignment="1">
      <alignment horizontal="right" vertical="center"/>
    </xf>
    <xf numFmtId="0" fontId="22" fillId="0" borderId="12" xfId="100" applyNumberFormat="1" applyFont="1" applyFill="1" applyBorder="1" applyAlignment="1">
      <alignment horizontal="center" vertical="center" wrapText="1" justifyLastLine="1"/>
    </xf>
    <xf numFmtId="3" fontId="22" fillId="0" borderId="9" xfId="100" applyNumberFormat="1" applyFont="1" applyFill="1" applyBorder="1" applyAlignment="1">
      <alignment horizontal="right" vertical="center"/>
    </xf>
    <xf numFmtId="3" fontId="22" fillId="0" borderId="2" xfId="100" applyNumberFormat="1" applyFont="1" applyFill="1" applyBorder="1" applyAlignment="1">
      <alignment vertical="center"/>
    </xf>
    <xf numFmtId="3" fontId="22" fillId="0" borderId="2" xfId="100" applyNumberFormat="1" applyFont="1" applyFill="1" applyBorder="1" applyAlignment="1">
      <alignment horizontal="right" vertical="center"/>
    </xf>
    <xf numFmtId="3" fontId="22" fillId="0" borderId="2" xfId="0" applyNumberFormat="1" applyFont="1" applyFill="1" applyBorder="1">
      <alignment vertical="center"/>
    </xf>
    <xf numFmtId="41" fontId="22" fillId="0" borderId="0" xfId="99" applyNumberFormat="1" applyFont="1" applyFill="1" applyAlignment="1">
      <alignment vertical="center"/>
    </xf>
    <xf numFmtId="41" fontId="22" fillId="0" borderId="2" xfId="105" applyNumberFormat="1" applyFont="1" applyFill="1" applyBorder="1" applyAlignment="1">
      <alignment horizontal="right" vertical="center"/>
    </xf>
    <xf numFmtId="0" fontId="22" fillId="0" borderId="2" xfId="96" applyNumberFormat="1" applyFont="1" applyFill="1" applyBorder="1" applyAlignment="1">
      <alignment horizontal="right" vertical="center" indent="1"/>
    </xf>
    <xf numFmtId="0" fontId="22" fillId="0" borderId="12" xfId="101" applyNumberFormat="1" applyFont="1" applyFill="1" applyBorder="1" applyAlignment="1">
      <alignment horizontal="left" vertical="center"/>
    </xf>
    <xf numFmtId="41" fontId="22" fillId="0" borderId="9" xfId="102" applyNumberFormat="1" applyFont="1" applyFill="1" applyBorder="1" applyAlignment="1">
      <alignment horizontal="right" vertical="center"/>
    </xf>
    <xf numFmtId="0" fontId="22" fillId="0" borderId="2" xfId="96" applyNumberFormat="1" applyFont="1" applyFill="1" applyBorder="1" applyAlignment="1">
      <alignment horizontal="left" vertical="center"/>
    </xf>
    <xf numFmtId="0" fontId="22" fillId="0" borderId="2" xfId="97" applyNumberFormat="1" applyFont="1" applyFill="1" applyBorder="1" applyAlignment="1">
      <alignment vertical="center" wrapText="1"/>
    </xf>
    <xf numFmtId="183" fontId="22" fillId="0" borderId="9" xfId="97" applyNumberFormat="1" applyFont="1" applyFill="1" applyBorder="1" applyAlignment="1">
      <alignment horizontal="right" vertical="center"/>
    </xf>
    <xf numFmtId="183" fontId="22" fillId="0" borderId="2" xfId="97" applyNumberFormat="1" applyFont="1" applyFill="1" applyBorder="1" applyAlignment="1">
      <alignment horizontal="right" vertical="center"/>
    </xf>
    <xf numFmtId="0" fontId="33" fillId="0" borderId="7" xfId="97" applyNumberFormat="1" applyFont="1" applyFill="1" applyBorder="1" applyAlignment="1">
      <alignment horizontal="center" vertical="center" wrapText="1"/>
    </xf>
    <xf numFmtId="0" fontId="22" fillId="0" borderId="12" xfId="0" applyNumberFormat="1" applyFont="1" applyFill="1" applyBorder="1" applyAlignment="1">
      <alignment horizontal="center" vertical="center" wrapText="1"/>
    </xf>
    <xf numFmtId="0" fontId="22" fillId="0" borderId="12" xfId="97" applyNumberFormat="1" applyFont="1" applyFill="1" applyBorder="1" applyAlignment="1">
      <alignment horizontal="left" vertical="center" wrapText="1" justifyLastLine="1"/>
    </xf>
    <xf numFmtId="41" fontId="22" fillId="0" borderId="9" xfId="0" applyNumberFormat="1" applyFont="1" applyFill="1" applyBorder="1" applyAlignment="1">
      <alignment horizontal="right" vertical="center"/>
    </xf>
    <xf numFmtId="41" fontId="22" fillId="0" borderId="2" xfId="0" applyNumberFormat="1" applyFont="1" applyFill="1" applyBorder="1" applyAlignment="1">
      <alignment horizontal="right" vertical="center"/>
    </xf>
    <xf numFmtId="41" fontId="22" fillId="0" borderId="2" xfId="112" applyNumberFormat="1" applyFont="1" applyFill="1" applyBorder="1" applyAlignment="1" applyProtection="1">
      <alignment horizontal="right" vertical="center"/>
    </xf>
    <xf numFmtId="0" fontId="81" fillId="0" borderId="0" xfId="95" applyNumberFormat="1" applyFont="1" applyFill="1" applyAlignment="1">
      <alignment vertical="center"/>
    </xf>
    <xf numFmtId="0" fontId="68" fillId="0" borderId="0" xfId="95" applyNumberFormat="1" applyFont="1" applyFill="1"/>
    <xf numFmtId="0" fontId="68" fillId="0" borderId="0" xfId="95" applyFont="1" applyFill="1"/>
    <xf numFmtId="0" fontId="68" fillId="0" borderId="0" xfId="97" applyNumberFormat="1" applyFont="1" applyAlignment="1">
      <alignment horizontal="center" vertical="center"/>
    </xf>
    <xf numFmtId="0" fontId="68" fillId="0" borderId="0" xfId="97" applyFont="1" applyAlignment="1">
      <alignment horizontal="center" vertical="center"/>
    </xf>
    <xf numFmtId="0" fontId="22" fillId="0" borderId="0" xfId="97" applyNumberFormat="1" applyFont="1" applyFill="1" applyBorder="1" applyAlignment="1">
      <alignment horizontal="left" vertical="center" wrapText="1"/>
    </xf>
    <xf numFmtId="0" fontId="22" fillId="0" borderId="0" xfId="97" applyNumberFormat="1" applyFont="1" applyFill="1" applyBorder="1" applyAlignment="1">
      <alignment horizontal="left" vertical="center"/>
    </xf>
    <xf numFmtId="0" fontId="22" fillId="0" borderId="0" xfId="97" applyNumberFormat="1" applyFont="1" applyFill="1" applyBorder="1" applyAlignment="1">
      <alignment vertical="center"/>
    </xf>
    <xf numFmtId="0" fontId="22" fillId="0" borderId="2" xfId="97" applyNumberFormat="1" applyFont="1" applyFill="1" applyBorder="1" applyAlignment="1">
      <alignment horizontal="center" vertical="center"/>
    </xf>
    <xf numFmtId="0" fontId="22" fillId="0" borderId="12" xfId="97" applyNumberFormat="1" applyFont="1" applyFill="1" applyBorder="1" applyAlignment="1">
      <alignment horizontal="center" vertical="center"/>
    </xf>
    <xf numFmtId="0" fontId="22" fillId="0" borderId="4" xfId="97" applyNumberFormat="1" applyFont="1" applyFill="1" applyBorder="1" applyAlignment="1">
      <alignment horizontal="center" vertical="center" wrapText="1"/>
    </xf>
    <xf numFmtId="0" fontId="22" fillId="0" borderId="20" xfId="97" applyNumberFormat="1" applyFont="1" applyFill="1" applyBorder="1" applyAlignment="1">
      <alignment horizontal="center" vertical="center" wrapText="1"/>
    </xf>
    <xf numFmtId="0" fontId="22" fillId="0" borderId="7" xfId="97" applyNumberFormat="1" applyFont="1" applyFill="1" applyBorder="1" applyAlignment="1">
      <alignment horizontal="center" vertical="center" wrapText="1"/>
    </xf>
    <xf numFmtId="0" fontId="22" fillId="0" borderId="0" xfId="97" applyNumberFormat="1" applyFont="1" applyFill="1" applyBorder="1" applyAlignment="1">
      <alignment horizontal="center" vertical="center"/>
    </xf>
    <xf numFmtId="0" fontId="22" fillId="0" borderId="5" xfId="97" applyNumberFormat="1" applyFont="1" applyFill="1" applyBorder="1" applyAlignment="1">
      <alignment horizontal="center" vertical="center"/>
    </xf>
    <xf numFmtId="0" fontId="22" fillId="0" borderId="16" xfId="97" applyNumberFormat="1" applyFont="1" applyFill="1" applyBorder="1" applyAlignment="1">
      <alignment horizontal="center" vertical="center" wrapText="1"/>
    </xf>
    <xf numFmtId="0" fontId="22" fillId="0" borderId="25" xfId="97" applyNumberFormat="1" applyFont="1" applyFill="1" applyBorder="1" applyAlignment="1">
      <alignment horizontal="center" vertical="center" wrapText="1"/>
    </xf>
    <xf numFmtId="0" fontId="22" fillId="0" borderId="17" xfId="97" applyNumberFormat="1" applyFont="1" applyFill="1" applyBorder="1" applyAlignment="1">
      <alignment horizontal="center" vertical="center" wrapText="1"/>
    </xf>
    <xf numFmtId="0" fontId="22" fillId="0" borderId="5" xfId="97" applyNumberFormat="1" applyFont="1" applyFill="1" applyBorder="1" applyAlignment="1">
      <alignment horizontal="center" vertical="center" wrapText="1"/>
    </xf>
    <xf numFmtId="0" fontId="22" fillId="0" borderId="10" xfId="97" applyNumberFormat="1" applyFont="1" applyFill="1" applyBorder="1" applyAlignment="1">
      <alignment horizontal="center" vertical="center" wrapText="1"/>
    </xf>
    <xf numFmtId="0" fontId="22" fillId="0" borderId="6" xfId="97" applyNumberFormat="1" applyFont="1" applyFill="1" applyBorder="1" applyAlignment="1">
      <alignment horizontal="center" vertical="center" wrapText="1"/>
    </xf>
    <xf numFmtId="0" fontId="22" fillId="0" borderId="11" xfId="97" applyNumberFormat="1" applyFont="1" applyFill="1" applyBorder="1" applyAlignment="1">
      <alignment horizontal="center" vertical="center" wrapText="1"/>
    </xf>
    <xf numFmtId="0" fontId="22" fillId="0" borderId="3" xfId="97" applyNumberFormat="1" applyFont="1" applyFill="1" applyBorder="1" applyAlignment="1">
      <alignment horizontal="center" vertical="center" wrapText="1"/>
    </xf>
    <xf numFmtId="0" fontId="22" fillId="0" borderId="12" xfId="97" applyNumberFormat="1" applyFont="1" applyFill="1" applyBorder="1" applyAlignment="1">
      <alignment horizontal="center" vertical="center" wrapText="1"/>
    </xf>
    <xf numFmtId="0" fontId="22" fillId="0" borderId="0" xfId="97" applyNumberFormat="1" applyFont="1" applyFill="1" applyAlignment="1">
      <alignment horizontal="right" vertical="center"/>
    </xf>
    <xf numFmtId="0" fontId="22" fillId="0" borderId="0" xfId="97" applyNumberFormat="1" applyFont="1" applyFill="1" applyAlignment="1">
      <alignment horizontal="center" vertical="center" wrapText="1"/>
    </xf>
    <xf numFmtId="0" fontId="22" fillId="0" borderId="0" xfId="97" applyNumberFormat="1" applyFont="1" applyFill="1" applyAlignment="1">
      <alignment horizontal="center" vertical="center"/>
    </xf>
    <xf numFmtId="0" fontId="22" fillId="0" borderId="0" xfId="97" applyNumberFormat="1" applyFont="1" applyFill="1" applyBorder="1" applyAlignment="1">
      <alignment horizontal="center" vertical="center" wrapText="1"/>
    </xf>
    <xf numFmtId="0" fontId="22" fillId="0" borderId="3" xfId="97" applyNumberFormat="1" applyFont="1" applyBorder="1" applyAlignment="1">
      <alignment horizontal="center" vertical="center" wrapText="1"/>
    </xf>
    <xf numFmtId="0" fontId="22" fillId="0" borderId="12" xfId="97" applyNumberFormat="1" applyFont="1" applyBorder="1" applyAlignment="1">
      <alignment horizontal="center" vertical="center" wrapText="1"/>
    </xf>
    <xf numFmtId="0" fontId="22" fillId="0" borderId="0" xfId="97" applyNumberFormat="1" applyFont="1" applyAlignment="1">
      <alignment horizontal="center" vertical="center"/>
    </xf>
    <xf numFmtId="0" fontId="22" fillId="0" borderId="4" xfId="97" applyNumberFormat="1" applyFont="1" applyBorder="1" applyAlignment="1">
      <alignment horizontal="center" vertical="center" wrapText="1"/>
    </xf>
    <xf numFmtId="0" fontId="22" fillId="0" borderId="4" xfId="97" applyNumberFormat="1" applyFont="1" applyBorder="1" applyAlignment="1">
      <alignment horizontal="center" vertical="center"/>
    </xf>
    <xf numFmtId="0" fontId="22" fillId="0" borderId="5" xfId="97" applyNumberFormat="1" applyFont="1" applyBorder="1" applyAlignment="1">
      <alignment horizontal="center" vertical="center" wrapText="1"/>
    </xf>
    <xf numFmtId="0" fontId="22" fillId="0" borderId="6" xfId="97" applyNumberFormat="1" applyFont="1" applyBorder="1" applyAlignment="1">
      <alignment horizontal="center" vertical="center" wrapText="1"/>
    </xf>
    <xf numFmtId="0" fontId="22" fillId="0" borderId="0" xfId="97" applyNumberFormat="1" applyFont="1" applyBorder="1" applyAlignment="1">
      <alignment horizontal="center" vertical="center" wrapText="1"/>
    </xf>
    <xf numFmtId="0" fontId="22" fillId="0" borderId="1" xfId="97" applyNumberFormat="1" applyFont="1" applyBorder="1" applyAlignment="1">
      <alignment horizontal="center" vertical="center" wrapText="1"/>
    </xf>
    <xf numFmtId="0" fontId="22" fillId="0" borderId="0" xfId="97" applyNumberFormat="1" applyFont="1" applyAlignment="1">
      <alignment horizontal="right" vertical="center"/>
    </xf>
    <xf numFmtId="0" fontId="22" fillId="0" borderId="20" xfId="97" applyNumberFormat="1" applyFont="1" applyBorder="1" applyAlignment="1">
      <alignment horizontal="center" vertical="center"/>
    </xf>
    <xf numFmtId="0" fontId="22" fillId="0" borderId="20" xfId="97" applyNumberFormat="1" applyFont="1" applyBorder="1" applyAlignment="1">
      <alignment horizontal="center" vertical="center" wrapText="1"/>
    </xf>
    <xf numFmtId="0" fontId="22" fillId="0" borderId="7" xfId="97" applyNumberFormat="1" applyFont="1" applyBorder="1" applyAlignment="1">
      <alignment horizontal="center" vertical="center" wrapText="1"/>
    </xf>
    <xf numFmtId="0" fontId="22" fillId="0" borderId="17" xfId="97" applyNumberFormat="1" applyFont="1" applyBorder="1" applyAlignment="1">
      <alignment horizontal="center" vertical="center" wrapText="1"/>
    </xf>
    <xf numFmtId="0" fontId="22" fillId="0" borderId="10" xfId="97" applyNumberFormat="1" applyFont="1" applyBorder="1" applyAlignment="1">
      <alignment horizontal="center" vertical="center" wrapText="1"/>
    </xf>
    <xf numFmtId="0" fontId="22" fillId="0" borderId="11" xfId="97" applyNumberFormat="1" applyFont="1" applyBorder="1" applyAlignment="1">
      <alignment horizontal="center" vertical="center" wrapText="1"/>
    </xf>
    <xf numFmtId="0" fontId="22" fillId="0" borderId="7" xfId="97" applyNumberFormat="1" applyFont="1" applyBorder="1" applyAlignment="1">
      <alignment horizontal="center" vertical="center"/>
    </xf>
    <xf numFmtId="0" fontId="22" fillId="0" borderId="0" xfId="97" applyNumberFormat="1" applyFont="1" applyBorder="1" applyAlignment="1">
      <alignment horizontal="center" vertical="center"/>
    </xf>
    <xf numFmtId="0" fontId="22" fillId="0" borderId="1" xfId="97" applyNumberFormat="1" applyFont="1" applyBorder="1" applyAlignment="1">
      <alignment horizontal="center" vertical="center"/>
    </xf>
    <xf numFmtId="0" fontId="22" fillId="0" borderId="6" xfId="97" applyNumberFormat="1" applyFont="1" applyBorder="1" applyAlignment="1">
      <alignment horizontal="center" vertical="center"/>
    </xf>
    <xf numFmtId="0" fontId="22" fillId="0" borderId="5" xfId="97" applyNumberFormat="1" applyFont="1" applyBorder="1" applyAlignment="1">
      <alignment horizontal="center" vertical="center"/>
    </xf>
    <xf numFmtId="0" fontId="22" fillId="0" borderId="2" xfId="97" applyNumberFormat="1" applyFont="1" applyBorder="1" applyAlignment="1">
      <alignment horizontal="right" vertical="center"/>
    </xf>
    <xf numFmtId="0" fontId="22" fillId="0" borderId="22" xfId="97" applyNumberFormat="1" applyFont="1" applyBorder="1" applyAlignment="1">
      <alignment horizontal="center" vertical="center" wrapText="1"/>
    </xf>
    <xf numFmtId="0" fontId="22" fillId="0" borderId="3" xfId="97" applyNumberFormat="1" applyFont="1" applyBorder="1" applyAlignment="1">
      <alignment horizontal="center" vertical="center"/>
    </xf>
    <xf numFmtId="0" fontId="22" fillId="0" borderId="23" xfId="97" applyNumberFormat="1" applyFont="1" applyBorder="1" applyAlignment="1">
      <alignment horizontal="center" vertical="center"/>
    </xf>
    <xf numFmtId="0" fontId="22" fillId="0" borderId="0" xfId="97" applyNumberFormat="1" applyFont="1" applyBorder="1" applyAlignment="1">
      <alignment horizontal="right" vertical="center"/>
    </xf>
    <xf numFmtId="0" fontId="22" fillId="0" borderId="0" xfId="97" applyNumberFormat="1" applyFont="1" applyFill="1" applyBorder="1" applyAlignment="1">
      <alignment vertical="center" wrapText="1"/>
    </xf>
    <xf numFmtId="0" fontId="22" fillId="0" borderId="16" xfId="97" applyNumberFormat="1" applyFont="1" applyBorder="1" applyAlignment="1">
      <alignment horizontal="center" vertical="center" wrapText="1"/>
    </xf>
    <xf numFmtId="0" fontId="2" fillId="0" borderId="7" xfId="97" applyNumberFormat="1" applyFont="1" applyBorder="1" applyAlignment="1">
      <alignment horizontal="center" vertical="center" wrapText="1"/>
    </xf>
    <xf numFmtId="0" fontId="2" fillId="0" borderId="10" xfId="97" applyNumberFormat="1" applyFont="1" applyBorder="1" applyAlignment="1">
      <alignment horizontal="center" vertical="center" wrapText="1"/>
    </xf>
    <xf numFmtId="0" fontId="22" fillId="0" borderId="3" xfId="0" applyNumberFormat="1" applyFont="1" applyBorder="1" applyAlignment="1">
      <alignment horizontal="center" vertical="center" wrapText="1"/>
    </xf>
    <xf numFmtId="0" fontId="22" fillId="0" borderId="12" xfId="0" applyNumberFormat="1" applyFont="1" applyBorder="1" applyAlignment="1">
      <alignment horizontal="center" vertical="center" wrapText="1"/>
    </xf>
    <xf numFmtId="0" fontId="22" fillId="0" borderId="6" xfId="0" applyNumberFormat="1" applyFont="1" applyBorder="1" applyAlignment="1">
      <alignment horizontal="center" vertical="center"/>
    </xf>
    <xf numFmtId="0" fontId="22" fillId="0" borderId="10" xfId="0" applyNumberFormat="1" applyFont="1" applyBorder="1" applyAlignment="1">
      <alignment horizontal="center" vertical="center" wrapText="1"/>
    </xf>
    <xf numFmtId="0" fontId="22" fillId="0" borderId="11" xfId="0" applyNumberFormat="1" applyFont="1" applyBorder="1" applyAlignment="1">
      <alignment horizontal="center" vertical="center" wrapText="1"/>
    </xf>
    <xf numFmtId="0" fontId="22" fillId="0" borderId="0" xfId="0" applyNumberFormat="1" applyFont="1" applyBorder="1" applyAlignment="1">
      <alignment horizontal="center" vertical="center"/>
    </xf>
    <xf numFmtId="0" fontId="22" fillId="0" borderId="4" xfId="0" applyNumberFormat="1" applyFont="1" applyBorder="1" applyAlignment="1">
      <alignment horizontal="center" vertical="center"/>
    </xf>
    <xf numFmtId="0" fontId="22" fillId="0" borderId="4" xfId="0" applyNumberFormat="1" applyFont="1" applyBorder="1" applyAlignment="1">
      <alignment horizontal="center" vertical="center" wrapText="1"/>
    </xf>
    <xf numFmtId="176" fontId="22" fillId="0" borderId="8" xfId="0" applyNumberFormat="1" applyFont="1" applyBorder="1" applyAlignment="1">
      <alignment horizontal="right" vertical="center"/>
    </xf>
    <xf numFmtId="176" fontId="22" fillId="0" borderId="0" xfId="0" applyNumberFormat="1" applyFont="1" applyBorder="1" applyAlignment="1">
      <alignment horizontal="right" vertical="center"/>
    </xf>
    <xf numFmtId="3" fontId="2" fillId="0" borderId="0" xfId="0" applyNumberFormat="1" applyFont="1" applyFill="1" applyBorder="1" applyAlignment="1">
      <alignment horizontal="right" vertical="center"/>
    </xf>
    <xf numFmtId="3" fontId="2" fillId="0" borderId="0" xfId="97" applyNumberFormat="1" applyFont="1" applyFill="1" applyBorder="1" applyAlignment="1">
      <alignment horizontal="right" vertical="center"/>
    </xf>
    <xf numFmtId="0" fontId="2" fillId="0" borderId="5" xfId="95" applyNumberFormat="1" applyFont="1" applyFill="1" applyBorder="1" applyAlignment="1">
      <alignment horizontal="center" vertical="center" wrapText="1"/>
    </xf>
    <xf numFmtId="0" fontId="2" fillId="0" borderId="11" xfId="95" applyNumberFormat="1" applyFont="1" applyFill="1" applyBorder="1" applyAlignment="1">
      <alignment horizontal="center" vertical="center" wrapText="1"/>
    </xf>
    <xf numFmtId="0" fontId="2" fillId="0" borderId="10" xfId="95" applyNumberFormat="1" applyFont="1" applyFill="1" applyBorder="1" applyAlignment="1">
      <alignment horizontal="center" vertical="center" wrapText="1"/>
    </xf>
    <xf numFmtId="0" fontId="2" fillId="0" borderId="4" xfId="95" applyNumberFormat="1" applyFont="1" applyFill="1" applyBorder="1" applyAlignment="1">
      <alignment horizontal="center" vertical="center" wrapText="1"/>
    </xf>
    <xf numFmtId="0" fontId="2" fillId="0" borderId="20" xfId="95" applyNumberFormat="1" applyFont="1" applyFill="1" applyBorder="1" applyAlignment="1">
      <alignment horizontal="center" vertical="center" wrapText="1"/>
    </xf>
    <xf numFmtId="0" fontId="2" fillId="0" borderId="7" xfId="95" applyNumberFormat="1" applyFont="1" applyFill="1" applyBorder="1" applyAlignment="1">
      <alignment horizontal="center" vertical="center" wrapText="1"/>
    </xf>
    <xf numFmtId="3" fontId="22" fillId="0" borderId="13" xfId="112" applyNumberFormat="1" applyFont="1" applyFill="1" applyBorder="1" applyAlignment="1" applyProtection="1">
      <alignment horizontal="right" vertical="center"/>
    </xf>
    <xf numFmtId="176" fontId="22" fillId="0" borderId="2" xfId="0" applyNumberFormat="1" applyFont="1" applyFill="1" applyBorder="1" applyAlignment="1">
      <alignment horizontal="right" vertical="center"/>
    </xf>
    <xf numFmtId="0" fontId="22" fillId="0" borderId="11" xfId="112" applyNumberFormat="1" applyFont="1" applyFill="1" applyBorder="1" applyAlignment="1" applyProtection="1">
      <alignment horizontal="center" vertical="center" wrapText="1"/>
    </xf>
    <xf numFmtId="0" fontId="22" fillId="0" borderId="6" xfId="112" applyNumberFormat="1" applyFont="1" applyFill="1" applyBorder="1" applyAlignment="1" applyProtection="1">
      <alignment horizontal="center" vertical="center" wrapText="1"/>
    </xf>
    <xf numFmtId="0" fontId="22" fillId="0" borderId="5" xfId="95" applyNumberFormat="1" applyFont="1" applyFill="1" applyBorder="1" applyAlignment="1">
      <alignment horizontal="center" vertical="center" wrapText="1"/>
    </xf>
    <xf numFmtId="0" fontId="22" fillId="0" borderId="10" xfId="95" applyNumberFormat="1" applyFont="1" applyFill="1" applyBorder="1" applyAlignment="1">
      <alignment horizontal="center" vertical="center" wrapText="1"/>
    </xf>
    <xf numFmtId="176" fontId="22" fillId="0" borderId="0" xfId="0" applyNumberFormat="1" applyFont="1" applyFill="1" applyBorder="1" applyAlignment="1">
      <alignment horizontal="right" vertical="center"/>
    </xf>
    <xf numFmtId="0" fontId="22" fillId="0" borderId="3" xfId="97" applyNumberFormat="1" applyFont="1" applyFill="1" applyBorder="1" applyAlignment="1">
      <alignment horizontal="center" vertical="center" wrapText="1" justifyLastLine="1"/>
    </xf>
    <xf numFmtId="0" fontId="22" fillId="0" borderId="5" xfId="112" applyNumberFormat="1" applyFont="1" applyFill="1" applyBorder="1" applyAlignment="1" applyProtection="1">
      <alignment horizontal="center" vertical="center" wrapText="1"/>
    </xf>
    <xf numFmtId="0" fontId="22" fillId="0" borderId="12" xfId="97" applyNumberFormat="1" applyFont="1" applyFill="1" applyBorder="1" applyAlignment="1">
      <alignment horizontal="center" vertical="center" wrapText="1" justifyLastLine="1"/>
    </xf>
    <xf numFmtId="0" fontId="22" fillId="0" borderId="7" xfId="112" applyNumberFormat="1" applyFont="1" applyFill="1" applyBorder="1" applyAlignment="1" applyProtection="1">
      <alignment horizontal="center" vertical="center" wrapText="1"/>
    </xf>
    <xf numFmtId="0" fontId="22" fillId="0" borderId="4" xfId="112" applyNumberFormat="1" applyFont="1" applyFill="1" applyBorder="1" applyAlignment="1" applyProtection="1">
      <alignment horizontal="center" vertical="center" wrapText="1"/>
    </xf>
    <xf numFmtId="0" fontId="22" fillId="0" borderId="0" xfId="112" applyNumberFormat="1" applyFont="1" applyFill="1" applyBorder="1" applyAlignment="1" applyProtection="1">
      <alignment horizontal="center" vertical="center" wrapText="1"/>
    </xf>
    <xf numFmtId="0" fontId="22" fillId="0" borderId="4" xfId="95" applyNumberFormat="1" applyFont="1" applyFill="1" applyBorder="1" applyAlignment="1">
      <alignment horizontal="center" vertical="center" wrapText="1"/>
    </xf>
    <xf numFmtId="0" fontId="22" fillId="0" borderId="7" xfId="95" applyNumberFormat="1" applyFont="1" applyFill="1" applyBorder="1" applyAlignment="1">
      <alignment horizontal="center" vertical="center" wrapText="1"/>
    </xf>
    <xf numFmtId="0" fontId="22" fillId="0" borderId="10" xfId="112" applyNumberFormat="1" applyFont="1" applyFill="1" applyBorder="1" applyAlignment="1" applyProtection="1">
      <alignment horizontal="center" vertical="center" wrapText="1"/>
    </xf>
    <xf numFmtId="0" fontId="22" fillId="0" borderId="0" xfId="0" applyNumberFormat="1" applyFont="1" applyAlignment="1">
      <alignment horizontal="center" vertical="center"/>
    </xf>
    <xf numFmtId="185" fontId="22" fillId="0" borderId="0" xfId="97" applyNumberFormat="1" applyFont="1" applyFill="1" applyBorder="1" applyAlignment="1">
      <alignment horizontal="center"/>
    </xf>
    <xf numFmtId="185" fontId="22" fillId="0" borderId="0" xfId="0" applyNumberFormat="1" applyFont="1" applyFill="1" applyBorder="1" applyAlignment="1">
      <alignment horizontal="center"/>
    </xf>
    <xf numFmtId="0" fontId="31" fillId="0" borderId="0" xfId="97" applyFont="1" applyAlignment="1">
      <alignment horizontal="center" vertical="center"/>
    </xf>
    <xf numFmtId="0" fontId="22" fillId="0" borderId="3" xfId="97" applyFont="1" applyBorder="1" applyAlignment="1">
      <alignment horizontal="center" vertical="center" wrapText="1"/>
    </xf>
    <xf numFmtId="0" fontId="22" fillId="0" borderId="7" xfId="0" applyNumberFormat="1" applyFont="1" applyBorder="1" applyAlignment="1">
      <alignment horizontal="center" vertical="center" wrapText="1"/>
    </xf>
    <xf numFmtId="0" fontId="22" fillId="0" borderId="19" xfId="97" applyNumberFormat="1" applyFont="1" applyBorder="1" applyAlignment="1">
      <alignment horizontal="center" vertical="center"/>
    </xf>
    <xf numFmtId="0" fontId="81" fillId="0" borderId="0" xfId="97" applyNumberFormat="1" applyFont="1" applyAlignment="1">
      <alignment horizontal="center" vertical="center"/>
    </xf>
    <xf numFmtId="0" fontId="83" fillId="0" borderId="0" xfId="90" applyFont="1">
      <alignment vertical="center"/>
    </xf>
    <xf numFmtId="0" fontId="81" fillId="0" borderId="0" xfId="95" applyNumberFormat="1" applyFont="1" applyFill="1"/>
    <xf numFmtId="0" fontId="22" fillId="0" borderId="0" xfId="100" applyNumberFormat="1" applyFont="1" applyBorder="1" applyAlignment="1">
      <alignment horizontal="center" vertical="center" wrapText="1" justifyLastLine="1"/>
    </xf>
    <xf numFmtId="0" fontId="31" fillId="0" borderId="0" xfId="101" applyNumberFormat="1" applyFont="1" applyFill="1" applyAlignment="1">
      <alignment horizontal="center" vertical="center"/>
    </xf>
    <xf numFmtId="0" fontId="22" fillId="0" borderId="0" xfId="101" applyNumberFormat="1" applyFont="1" applyFill="1" applyBorder="1" applyAlignment="1">
      <alignment horizontal="center" vertical="center"/>
    </xf>
    <xf numFmtId="0" fontId="22" fillId="0" borderId="0" xfId="101" applyNumberFormat="1" applyFont="1" applyFill="1" applyAlignment="1">
      <alignment horizontal="center" vertical="center"/>
    </xf>
    <xf numFmtId="0" fontId="22" fillId="0" borderId="2" xfId="101" applyNumberFormat="1" applyFont="1" applyFill="1" applyBorder="1" applyAlignment="1">
      <alignment horizontal="right" vertical="center"/>
    </xf>
    <xf numFmtId="0" fontId="31" fillId="0" borderId="0" xfId="97" applyNumberFormat="1" applyFont="1" applyFill="1" applyAlignment="1">
      <alignment horizontal="center" vertical="center"/>
    </xf>
    <xf numFmtId="0" fontId="22" fillId="0" borderId="0" xfId="97" applyNumberFormat="1" applyFont="1" applyFill="1" applyBorder="1" applyAlignment="1">
      <alignment horizontal="center" vertical="center"/>
    </xf>
    <xf numFmtId="0" fontId="22" fillId="0" borderId="3" xfId="97" applyNumberFormat="1" applyFont="1" applyFill="1" applyBorder="1" applyAlignment="1">
      <alignment horizontal="center" vertical="center"/>
    </xf>
    <xf numFmtId="0" fontId="22" fillId="0" borderId="16" xfId="97" applyNumberFormat="1" applyFont="1" applyFill="1" applyBorder="1" applyAlignment="1">
      <alignment horizontal="center" vertical="center" wrapText="1"/>
    </xf>
    <xf numFmtId="0" fontId="22" fillId="0" borderId="17" xfId="97" applyNumberFormat="1" applyFont="1" applyFill="1" applyBorder="1" applyAlignment="1">
      <alignment horizontal="center" vertical="center" wrapText="1"/>
    </xf>
    <xf numFmtId="0" fontId="22" fillId="0" borderId="5" xfId="97" applyNumberFormat="1" applyFont="1" applyFill="1" applyBorder="1" applyAlignment="1">
      <alignment horizontal="center" vertical="center"/>
    </xf>
    <xf numFmtId="0" fontId="22" fillId="0" borderId="4" xfId="97" applyNumberFormat="1" applyFont="1" applyFill="1" applyBorder="1" applyAlignment="1">
      <alignment horizontal="center" vertical="center" wrapText="1"/>
    </xf>
    <xf numFmtId="0" fontId="22" fillId="0" borderId="7" xfId="97" applyNumberFormat="1" applyFont="1" applyFill="1" applyBorder="1" applyAlignment="1">
      <alignment horizontal="center" vertical="center" wrapText="1"/>
    </xf>
    <xf numFmtId="0" fontId="22" fillId="0" borderId="5" xfId="97" applyNumberFormat="1" applyFont="1" applyFill="1" applyBorder="1" applyAlignment="1">
      <alignment horizontal="center" vertical="center" wrapText="1"/>
    </xf>
    <xf numFmtId="0" fontId="22" fillId="0" borderId="10" xfId="97" applyNumberFormat="1" applyFont="1" applyFill="1" applyBorder="1" applyAlignment="1">
      <alignment horizontal="center" vertical="center" wrapText="1"/>
    </xf>
    <xf numFmtId="0" fontId="22" fillId="0" borderId="0" xfId="97" applyNumberFormat="1" applyFont="1" applyFill="1" applyBorder="1" applyAlignment="1">
      <alignment horizontal="left" vertical="center" wrapText="1"/>
    </xf>
    <xf numFmtId="0" fontId="22" fillId="0" borderId="0" xfId="97" applyNumberFormat="1" applyFont="1" applyFill="1" applyBorder="1" applyAlignment="1">
      <alignment horizontal="left" vertical="center"/>
    </xf>
    <xf numFmtId="0" fontId="22" fillId="0" borderId="0" xfId="97" applyNumberFormat="1" applyFont="1" applyFill="1" applyBorder="1" applyAlignment="1">
      <alignment vertical="center"/>
    </xf>
    <xf numFmtId="0" fontId="22" fillId="0" borderId="2" xfId="97" applyNumberFormat="1" applyFont="1" applyFill="1" applyBorder="1" applyAlignment="1">
      <alignment horizontal="center" vertical="center"/>
    </xf>
    <xf numFmtId="0" fontId="22" fillId="0" borderId="0" xfId="97" applyNumberFormat="1" applyFont="1" applyFill="1" applyAlignment="1">
      <alignment horizontal="right" vertical="center"/>
    </xf>
    <xf numFmtId="0" fontId="22" fillId="0" borderId="0" xfId="97" applyNumberFormat="1" applyFont="1" applyFill="1" applyAlignment="1">
      <alignment horizontal="center" vertical="center" wrapText="1"/>
    </xf>
    <xf numFmtId="0" fontId="2" fillId="0" borderId="20" xfId="97" applyNumberFormat="1" applyFont="1" applyFill="1" applyBorder="1" applyAlignment="1">
      <alignment horizontal="center" vertical="center"/>
    </xf>
    <xf numFmtId="0" fontId="2" fillId="0" borderId="20" xfId="97" applyNumberFormat="1" applyFont="1" applyFill="1" applyBorder="1" applyAlignment="1">
      <alignment horizontal="center" vertical="center" wrapText="1"/>
    </xf>
    <xf numFmtId="0" fontId="2" fillId="0" borderId="6" xfId="97" applyNumberFormat="1" applyFont="1" applyFill="1" applyBorder="1" applyAlignment="1">
      <alignment horizontal="center" vertical="center" wrapText="1"/>
    </xf>
    <xf numFmtId="0" fontId="2" fillId="0" borderId="5" xfId="97" applyNumberFormat="1" applyFont="1" applyFill="1" applyBorder="1" applyAlignment="1">
      <alignment horizontal="center" vertical="center" wrapText="1"/>
    </xf>
    <xf numFmtId="0" fontId="17" fillId="0" borderId="7" xfId="97" applyNumberFormat="1" applyFont="1" applyFill="1" applyBorder="1" applyAlignment="1">
      <alignment horizontal="center" vertical="top" wrapText="1"/>
    </xf>
    <xf numFmtId="0" fontId="22" fillId="0" borderId="0" xfId="97" applyNumberFormat="1" applyFont="1" applyFill="1" applyAlignment="1">
      <alignment horizontal="center" vertical="center"/>
    </xf>
    <xf numFmtId="0" fontId="22" fillId="0" borderId="0" xfId="97" applyNumberFormat="1" applyFont="1" applyAlignment="1">
      <alignment horizontal="center" vertical="center"/>
    </xf>
    <xf numFmtId="0" fontId="22" fillId="0" borderId="3" xfId="97" applyNumberFormat="1" applyFont="1" applyBorder="1" applyAlignment="1">
      <alignment horizontal="center" vertical="center" wrapText="1"/>
    </xf>
    <xf numFmtId="0" fontId="22" fillId="0" borderId="4" xfId="97" applyNumberFormat="1" applyFont="1" applyBorder="1" applyAlignment="1">
      <alignment horizontal="center" vertical="center" wrapText="1"/>
    </xf>
    <xf numFmtId="0" fontId="22" fillId="0" borderId="5" xfId="97" applyNumberFormat="1" applyFont="1" applyBorder="1" applyAlignment="1">
      <alignment horizontal="center" vertical="center" wrapText="1"/>
    </xf>
    <xf numFmtId="0" fontId="22" fillId="0" borderId="0" xfId="97" applyNumberFormat="1" applyFont="1" applyBorder="1" applyAlignment="1">
      <alignment horizontal="center" vertical="center" wrapText="1"/>
    </xf>
    <xf numFmtId="0" fontId="22" fillId="0" borderId="7" xfId="97" applyNumberFormat="1" applyFont="1" applyBorder="1" applyAlignment="1">
      <alignment horizontal="center" vertical="center" wrapText="1"/>
    </xf>
    <xf numFmtId="0" fontId="22" fillId="0" borderId="17" xfId="97" applyNumberFormat="1" applyFont="1" applyBorder="1" applyAlignment="1">
      <alignment horizontal="center" vertical="center" wrapText="1"/>
    </xf>
    <xf numFmtId="0" fontId="22" fillId="0" borderId="10" xfId="97" applyNumberFormat="1" applyFont="1" applyBorder="1" applyAlignment="1">
      <alignment horizontal="center" vertical="center" wrapText="1"/>
    </xf>
    <xf numFmtId="0" fontId="22" fillId="0" borderId="0" xfId="97" applyNumberFormat="1" applyFont="1" applyAlignment="1">
      <alignment horizontal="right" vertical="center"/>
    </xf>
    <xf numFmtId="0" fontId="22" fillId="0" borderId="0" xfId="97" applyNumberFormat="1" applyFont="1" applyBorder="1" applyAlignment="1">
      <alignment horizontal="center" vertical="center"/>
    </xf>
    <xf numFmtId="0" fontId="22" fillId="0" borderId="0" xfId="97" applyNumberFormat="1" applyFont="1" applyBorder="1" applyAlignment="1">
      <alignment horizontal="right" vertical="center"/>
    </xf>
    <xf numFmtId="0" fontId="22" fillId="0" borderId="0" xfId="97" applyNumberFormat="1" applyFont="1" applyFill="1" applyBorder="1" applyAlignment="1">
      <alignment vertical="center" wrapText="1"/>
    </xf>
    <xf numFmtId="0" fontId="22" fillId="0" borderId="16" xfId="97" applyNumberFormat="1" applyFont="1" applyBorder="1" applyAlignment="1">
      <alignment horizontal="center" vertical="center" wrapText="1"/>
    </xf>
    <xf numFmtId="0" fontId="22" fillId="0" borderId="20" xfId="0" applyNumberFormat="1" applyFont="1" applyBorder="1" applyAlignment="1">
      <alignment horizontal="center" vertical="center"/>
    </xf>
    <xf numFmtId="0" fontId="22" fillId="0" borderId="4" xfId="0" applyNumberFormat="1" applyFont="1" applyBorder="1" applyAlignment="1">
      <alignment horizontal="center" vertical="center" wrapText="1"/>
    </xf>
    <xf numFmtId="0" fontId="22" fillId="0" borderId="5" xfId="0" applyNumberFormat="1" applyFont="1" applyBorder="1" applyAlignment="1">
      <alignment horizontal="center" vertical="center"/>
    </xf>
    <xf numFmtId="0" fontId="22" fillId="0" borderId="6" xfId="0" applyNumberFormat="1" applyFont="1" applyBorder="1" applyAlignment="1">
      <alignment horizontal="center" vertical="center"/>
    </xf>
    <xf numFmtId="0" fontId="22" fillId="0" borderId="7" xfId="0" applyNumberFormat="1" applyFont="1" applyBorder="1" applyAlignment="1">
      <alignment horizontal="center" vertical="center" wrapText="1"/>
    </xf>
    <xf numFmtId="41" fontId="22" fillId="0" borderId="0" xfId="97" applyNumberFormat="1" applyFont="1" applyBorder="1" applyAlignment="1">
      <alignment horizontal="right" vertical="center"/>
    </xf>
    <xf numFmtId="41" fontId="22" fillId="0" borderId="0" xfId="97" applyNumberFormat="1" applyFont="1" applyBorder="1" applyAlignment="1">
      <alignment vertical="center"/>
    </xf>
    <xf numFmtId="41" fontId="22" fillId="0" borderId="0" xfId="97" applyNumberFormat="1" applyFont="1" applyFill="1" applyBorder="1" applyAlignment="1">
      <alignment vertical="center"/>
    </xf>
    <xf numFmtId="41" fontId="22" fillId="0" borderId="0" xfId="0" applyNumberFormat="1" applyFont="1">
      <alignment vertical="center"/>
    </xf>
    <xf numFmtId="41" fontId="25" fillId="0" borderId="0" xfId="97" applyNumberFormat="1" applyFont="1" applyBorder="1" applyAlignment="1">
      <alignment horizontal="right" vertical="center"/>
    </xf>
    <xf numFmtId="41" fontId="25" fillId="0" borderId="9" xfId="97" applyNumberFormat="1" applyFont="1" applyFill="1" applyBorder="1" applyAlignment="1">
      <alignment horizontal="right" vertical="center"/>
    </xf>
    <xf numFmtId="41" fontId="25" fillId="0" borderId="2" xfId="97" applyNumberFormat="1" applyFont="1" applyFill="1" applyBorder="1" applyAlignment="1">
      <alignment horizontal="right" vertical="center"/>
    </xf>
    <xf numFmtId="41" fontId="25" fillId="0" borderId="0" xfId="97" applyNumberFormat="1" applyFont="1" applyBorder="1" applyAlignment="1">
      <alignment vertical="center"/>
    </xf>
    <xf numFmtId="41" fontId="25" fillId="0" borderId="13" xfId="97" applyNumberFormat="1" applyFont="1" applyBorder="1" applyAlignment="1">
      <alignment vertical="center"/>
    </xf>
    <xf numFmtId="41" fontId="25" fillId="0" borderId="13" xfId="97" applyNumberFormat="1" applyFont="1" applyBorder="1" applyAlignment="1">
      <alignment horizontal="right" vertical="center"/>
    </xf>
    <xf numFmtId="41" fontId="25" fillId="0" borderId="0" xfId="97" applyNumberFormat="1" applyFont="1" applyFill="1" applyBorder="1" applyAlignment="1">
      <alignment horizontal="right" vertical="center"/>
    </xf>
    <xf numFmtId="41" fontId="25" fillId="0" borderId="0" xfId="97" applyNumberFormat="1" applyFont="1" applyFill="1" applyBorder="1" applyAlignment="1">
      <alignment vertical="center"/>
    </xf>
    <xf numFmtId="41" fontId="22" fillId="0" borderId="8" xfId="97" applyNumberFormat="1" applyFont="1" applyFill="1" applyBorder="1" applyAlignment="1">
      <alignment vertical="center"/>
    </xf>
    <xf numFmtId="41" fontId="22" fillId="0" borderId="9" xfId="97" applyNumberFormat="1" applyFont="1" applyFill="1" applyBorder="1" applyAlignment="1">
      <alignment vertical="center"/>
    </xf>
    <xf numFmtId="41" fontId="22" fillId="0" borderId="2" xfId="97" applyNumberFormat="1" applyFont="1" applyFill="1" applyBorder="1" applyAlignment="1">
      <alignment vertical="center"/>
    </xf>
    <xf numFmtId="41" fontId="22" fillId="0" borderId="8" xfId="97" applyNumberFormat="1" applyFont="1" applyFill="1" applyBorder="1" applyAlignment="1">
      <alignment horizontal="right" vertical="center"/>
    </xf>
    <xf numFmtId="41" fontId="22" fillId="0" borderId="8" xfId="97" applyNumberFormat="1" applyFont="1" applyBorder="1" applyAlignment="1">
      <alignment horizontal="right" vertical="center"/>
    </xf>
    <xf numFmtId="41" fontId="22" fillId="0" borderId="0" xfId="97" applyNumberFormat="1" applyFont="1" applyAlignment="1">
      <alignment horizontal="right" vertical="center"/>
    </xf>
    <xf numFmtId="41" fontId="22" fillId="0" borderId="8" xfId="0" applyNumberFormat="1" applyFont="1" applyFill="1" applyBorder="1" applyAlignment="1">
      <alignment horizontal="right" vertical="center"/>
    </xf>
    <xf numFmtId="41" fontId="22" fillId="0" borderId="2" xfId="97" applyNumberFormat="1" applyFont="1" applyBorder="1" applyAlignment="1">
      <alignment horizontal="center" vertical="center"/>
    </xf>
    <xf numFmtId="41" fontId="22" fillId="0" borderId="2" xfId="0" applyNumberFormat="1" applyFont="1" applyBorder="1" applyAlignment="1">
      <alignment horizontal="right" vertical="center"/>
    </xf>
    <xf numFmtId="41" fontId="2" fillId="0" borderId="0" xfId="0" applyNumberFormat="1" applyFont="1" applyFill="1" applyBorder="1" applyAlignment="1">
      <alignment horizontal="right" vertical="center"/>
    </xf>
    <xf numFmtId="41" fontId="2" fillId="0" borderId="0" xfId="97" applyNumberFormat="1" applyFont="1" applyFill="1" applyBorder="1" applyAlignment="1">
      <alignment horizontal="right" vertical="center"/>
    </xf>
    <xf numFmtId="41" fontId="2" fillId="0" borderId="8" xfId="112" applyNumberFormat="1" applyFont="1" applyFill="1" applyBorder="1" applyAlignment="1" applyProtection="1">
      <alignment horizontal="right" vertical="center"/>
    </xf>
    <xf numFmtId="41" fontId="2" fillId="0" borderId="0" xfId="112" applyNumberFormat="1" applyFont="1" applyFill="1" applyBorder="1" applyAlignment="1" applyProtection="1">
      <alignment horizontal="right" vertical="center"/>
    </xf>
    <xf numFmtId="41" fontId="2" fillId="0" borderId="2" xfId="112" applyNumberFormat="1" applyFont="1" applyFill="1" applyBorder="1" applyAlignment="1" applyProtection="1">
      <alignment horizontal="right" vertical="center"/>
    </xf>
    <xf numFmtId="41" fontId="2" fillId="0" borderId="8" xfId="112" applyNumberFormat="1" applyFont="1" applyFill="1" applyBorder="1" applyAlignment="1" applyProtection="1">
      <alignment vertical="center"/>
    </xf>
    <xf numFmtId="41" fontId="2" fillId="0" borderId="0" xfId="95" applyNumberFormat="1" applyFont="1" applyFill="1" applyBorder="1" applyAlignment="1">
      <alignment vertical="center" wrapText="1"/>
    </xf>
    <xf numFmtId="41" fontId="2" fillId="0" borderId="0" xfId="112" applyNumberFormat="1" applyFont="1" applyFill="1" applyBorder="1" applyAlignment="1" applyProtection="1">
      <alignment vertical="center"/>
    </xf>
    <xf numFmtId="41" fontId="2" fillId="0" borderId="13" xfId="0" applyNumberFormat="1" applyFont="1" applyFill="1" applyBorder="1" applyAlignment="1">
      <alignment horizontal="right" vertical="center"/>
    </xf>
    <xf numFmtId="41" fontId="2" fillId="0" borderId="2" xfId="0" applyNumberFormat="1" applyFont="1" applyFill="1" applyBorder="1" applyAlignment="1">
      <alignment horizontal="right" vertical="center"/>
    </xf>
    <xf numFmtId="41" fontId="2" fillId="0" borderId="2" xfId="97" applyNumberFormat="1" applyFont="1" applyFill="1" applyBorder="1" applyAlignment="1">
      <alignment horizontal="right" vertical="center"/>
    </xf>
    <xf numFmtId="41" fontId="2" fillId="0" borderId="13" xfId="97" applyNumberFormat="1" applyFont="1" applyFill="1" applyBorder="1" applyAlignment="1">
      <alignment horizontal="right" vertical="center"/>
    </xf>
    <xf numFmtId="41" fontId="2" fillId="0" borderId="9" xfId="0" applyNumberFormat="1" applyFont="1" applyFill="1" applyBorder="1" applyAlignment="1">
      <alignment horizontal="right" vertical="center"/>
    </xf>
    <xf numFmtId="41" fontId="22" fillId="0" borderId="0" xfId="0" applyNumberFormat="1" applyFont="1" applyFill="1" applyAlignment="1">
      <alignment horizontal="right" vertical="center"/>
    </xf>
    <xf numFmtId="41" fontId="22" fillId="0" borderId="13" xfId="0" applyNumberFormat="1" applyFont="1" applyFill="1" applyBorder="1" applyAlignment="1">
      <alignment horizontal="right" vertical="center"/>
    </xf>
    <xf numFmtId="41" fontId="22" fillId="0" borderId="0" xfId="95" applyNumberFormat="1" applyFont="1" applyFill="1" applyBorder="1" applyAlignment="1">
      <alignment vertical="center"/>
    </xf>
    <xf numFmtId="0" fontId="31" fillId="0" borderId="0" xfId="100" applyNumberFormat="1" applyFont="1" applyAlignment="1">
      <alignment horizontal="center" vertical="center"/>
    </xf>
    <xf numFmtId="0" fontId="22" fillId="0" borderId="2" xfId="100" applyNumberFormat="1" applyFont="1" applyBorder="1" applyAlignment="1">
      <alignment horizontal="right" vertical="center"/>
    </xf>
    <xf numFmtId="0" fontId="22" fillId="0" borderId="13" xfId="100" applyNumberFormat="1" applyFont="1" applyBorder="1" applyAlignment="1">
      <alignment horizontal="center" vertical="center" wrapText="1" justifyLastLine="1"/>
    </xf>
    <xf numFmtId="0" fontId="22" fillId="0" borderId="0" xfId="100" applyNumberFormat="1" applyFont="1" applyBorder="1" applyAlignment="1">
      <alignment horizontal="center" vertical="center" wrapText="1" justifyLastLine="1"/>
    </xf>
    <xf numFmtId="0" fontId="22" fillId="0" borderId="15" xfId="100" applyNumberFormat="1" applyFont="1" applyBorder="1" applyAlignment="1">
      <alignment horizontal="center" vertical="center"/>
    </xf>
    <xf numFmtId="0" fontId="22" fillId="0" borderId="13" xfId="100" applyNumberFormat="1" applyFont="1" applyBorder="1" applyAlignment="1">
      <alignment horizontal="center" vertical="center"/>
    </xf>
    <xf numFmtId="0" fontId="22" fillId="0" borderId="26" xfId="100" applyNumberFormat="1" applyFont="1" applyBorder="1" applyAlignment="1">
      <alignment horizontal="center" vertical="center"/>
    </xf>
    <xf numFmtId="0" fontId="22" fillId="0" borderId="13" xfId="0" applyNumberFormat="1" applyFont="1" applyBorder="1" applyAlignment="1">
      <alignment horizontal="center" vertical="center"/>
    </xf>
    <xf numFmtId="0" fontId="22" fillId="0" borderId="31" xfId="100" applyNumberFormat="1" applyFont="1" applyBorder="1" applyAlignment="1">
      <alignment horizontal="center" vertical="center"/>
    </xf>
    <xf numFmtId="0" fontId="22" fillId="0" borderId="32" xfId="100" applyNumberFormat="1" applyFont="1" applyBorder="1" applyAlignment="1">
      <alignment horizontal="center" vertical="center"/>
    </xf>
    <xf numFmtId="0" fontId="22" fillId="0" borderId="33" xfId="100" applyNumberFormat="1" applyFont="1" applyBorder="1" applyAlignment="1">
      <alignment horizontal="center" vertical="center"/>
    </xf>
    <xf numFmtId="0" fontId="22" fillId="0" borderId="32" xfId="0" applyNumberFormat="1" applyFont="1" applyBorder="1" applyAlignment="1">
      <alignment horizontal="center" vertical="center"/>
    </xf>
    <xf numFmtId="0" fontId="2" fillId="0" borderId="0" xfId="100" applyNumberFormat="1" applyFont="1" applyAlignment="1">
      <alignment horizontal="left" vertical="center"/>
    </xf>
    <xf numFmtId="0" fontId="31" fillId="0" borderId="0" xfId="98" applyNumberFormat="1" applyFont="1" applyAlignment="1">
      <alignment horizontal="center" vertical="center" wrapText="1"/>
    </xf>
    <xf numFmtId="0" fontId="22" fillId="0" borderId="13" xfId="99" applyNumberFormat="1" applyFont="1" applyBorder="1" applyAlignment="1">
      <alignment horizontal="center" vertical="center"/>
    </xf>
    <xf numFmtId="0" fontId="22" fillId="0" borderId="23" xfId="99" applyNumberFormat="1" applyFont="1" applyBorder="1" applyAlignment="1">
      <alignment horizontal="center" vertical="center"/>
    </xf>
    <xf numFmtId="0" fontId="22" fillId="0" borderId="2" xfId="99" applyNumberFormat="1" applyFont="1" applyBorder="1" applyAlignment="1">
      <alignment horizontal="center" vertical="center"/>
    </xf>
    <xf numFmtId="0" fontId="22" fillId="0" borderId="12" xfId="99" applyNumberFormat="1" applyFont="1" applyBorder="1" applyAlignment="1">
      <alignment horizontal="center" vertical="center"/>
    </xf>
    <xf numFmtId="0" fontId="22" fillId="0" borderId="0" xfId="101" applyNumberFormat="1" applyFont="1" applyFill="1" applyBorder="1" applyAlignment="1">
      <alignment horizontal="center" vertical="center" wrapText="1"/>
    </xf>
    <xf numFmtId="0" fontId="22" fillId="0" borderId="3" xfId="101" applyNumberFormat="1" applyFont="1" applyFill="1" applyBorder="1" applyAlignment="1">
      <alignment horizontal="center" vertical="center" wrapText="1"/>
    </xf>
    <xf numFmtId="0" fontId="22" fillId="0" borderId="2" xfId="101" applyNumberFormat="1" applyFont="1" applyFill="1" applyBorder="1" applyAlignment="1">
      <alignment horizontal="center" vertical="center" wrapText="1"/>
    </xf>
    <xf numFmtId="0" fontId="22" fillId="0" borderId="12" xfId="101" applyNumberFormat="1" applyFont="1" applyFill="1" applyBorder="1" applyAlignment="1">
      <alignment horizontal="center" vertical="center" wrapText="1"/>
    </xf>
    <xf numFmtId="0" fontId="31" fillId="0" borderId="0" xfId="101" applyNumberFormat="1" applyFont="1" applyFill="1" applyAlignment="1">
      <alignment horizontal="center" vertical="center"/>
    </xf>
    <xf numFmtId="0" fontId="22" fillId="0" borderId="13" xfId="101" applyNumberFormat="1" applyFont="1" applyFill="1" applyBorder="1" applyAlignment="1">
      <alignment horizontal="center" vertical="center"/>
    </xf>
    <xf numFmtId="0" fontId="22" fillId="0" borderId="23" xfId="101" applyNumberFormat="1" applyFont="1" applyFill="1" applyBorder="1" applyAlignment="1">
      <alignment horizontal="center" vertical="center"/>
    </xf>
    <xf numFmtId="0" fontId="22" fillId="0" borderId="0" xfId="101" applyNumberFormat="1" applyFont="1" applyFill="1" applyBorder="1" applyAlignment="1">
      <alignment horizontal="center" vertical="center"/>
    </xf>
    <xf numFmtId="0" fontId="22" fillId="0" borderId="3" xfId="101" applyNumberFormat="1" applyFont="1" applyFill="1" applyBorder="1" applyAlignment="1">
      <alignment horizontal="center" vertical="center"/>
    </xf>
    <xf numFmtId="0" fontId="22" fillId="0" borderId="15" xfId="101" applyNumberFormat="1" applyFont="1" applyFill="1" applyBorder="1" applyAlignment="1">
      <alignment horizontal="center" vertical="center"/>
    </xf>
    <xf numFmtId="0" fontId="22" fillId="0" borderId="26" xfId="101" applyNumberFormat="1" applyFont="1" applyFill="1" applyBorder="1" applyAlignment="1">
      <alignment horizontal="center" vertical="center"/>
    </xf>
    <xf numFmtId="0" fontId="22" fillId="0" borderId="34" xfId="101" applyNumberFormat="1" applyFont="1" applyFill="1" applyBorder="1" applyAlignment="1">
      <alignment horizontal="center" vertical="center" wrapText="1"/>
    </xf>
    <xf numFmtId="0" fontId="22" fillId="0" borderId="33" xfId="101" applyNumberFormat="1" applyFont="1" applyFill="1" applyBorder="1" applyAlignment="1">
      <alignment horizontal="center" vertical="center" wrapText="1"/>
    </xf>
    <xf numFmtId="0" fontId="22" fillId="0" borderId="0" xfId="101" applyNumberFormat="1" applyFont="1" applyFill="1" applyAlignment="1">
      <alignment horizontal="center" vertical="center"/>
    </xf>
    <xf numFmtId="0" fontId="22" fillId="0" borderId="2" xfId="101" applyNumberFormat="1" applyFont="1" applyFill="1" applyBorder="1" applyAlignment="1">
      <alignment horizontal="right" vertical="center"/>
    </xf>
    <xf numFmtId="0" fontId="22" fillId="0" borderId="13" xfId="101" applyNumberFormat="1" applyFont="1" applyFill="1" applyBorder="1" applyAlignment="1">
      <alignment horizontal="center" vertical="center" justifyLastLine="1"/>
    </xf>
    <xf numFmtId="0" fontId="22" fillId="0" borderId="31" xfId="101" applyNumberFormat="1" applyFont="1" applyFill="1" applyBorder="1" applyAlignment="1">
      <alignment horizontal="center" vertical="center"/>
    </xf>
    <xf numFmtId="0" fontId="22" fillId="0" borderId="32" xfId="101" applyNumberFormat="1" applyFont="1" applyFill="1" applyBorder="1" applyAlignment="1">
      <alignment horizontal="center" vertical="center"/>
    </xf>
    <xf numFmtId="0" fontId="22" fillId="0" borderId="33" xfId="101" applyNumberFormat="1" applyFont="1" applyFill="1" applyBorder="1" applyAlignment="1">
      <alignment horizontal="center" vertical="center"/>
    </xf>
    <xf numFmtId="0" fontId="31" fillId="0" borderId="0" xfId="97" applyNumberFormat="1" applyFont="1" applyFill="1" applyAlignment="1">
      <alignment horizontal="center" vertical="center"/>
    </xf>
    <xf numFmtId="0" fontId="22" fillId="0" borderId="0" xfId="97" applyNumberFormat="1" applyFont="1" applyFill="1" applyBorder="1" applyAlignment="1">
      <alignment horizontal="center" vertical="center"/>
    </xf>
    <xf numFmtId="0" fontId="22" fillId="0" borderId="3" xfId="97" applyNumberFormat="1" applyFont="1" applyFill="1" applyBorder="1" applyAlignment="1">
      <alignment horizontal="center" vertical="center"/>
    </xf>
    <xf numFmtId="0" fontId="22" fillId="0" borderId="35" xfId="97" applyNumberFormat="1" applyFont="1" applyFill="1" applyBorder="1" applyAlignment="1">
      <alignment horizontal="center" vertical="center" justifyLastLine="1"/>
    </xf>
    <xf numFmtId="0" fontId="22" fillId="0" borderId="36" xfId="97" applyNumberFormat="1" applyFont="1" applyFill="1" applyBorder="1" applyAlignment="1">
      <alignment horizontal="center" vertical="center" justifyLastLine="1"/>
    </xf>
    <xf numFmtId="0" fontId="22" fillId="0" borderId="37" xfId="97" applyNumberFormat="1" applyFont="1" applyFill="1" applyBorder="1" applyAlignment="1">
      <alignment horizontal="center" vertical="center" justifyLastLine="1"/>
    </xf>
    <xf numFmtId="0" fontId="22" fillId="0" borderId="36" xfId="97" applyNumberFormat="1" applyFont="1" applyFill="1" applyBorder="1" applyAlignment="1">
      <alignment horizontal="center" vertical="center"/>
    </xf>
    <xf numFmtId="0" fontId="22" fillId="0" borderId="37" xfId="97" applyNumberFormat="1" applyFont="1" applyFill="1" applyBorder="1" applyAlignment="1">
      <alignment horizontal="center" vertical="center"/>
    </xf>
    <xf numFmtId="0" fontId="22" fillId="0" borderId="28" xfId="97" applyNumberFormat="1" applyFont="1" applyFill="1" applyBorder="1" applyAlignment="1">
      <alignment horizontal="center" vertical="center"/>
    </xf>
    <xf numFmtId="0" fontId="22" fillId="0" borderId="16" xfId="97" applyNumberFormat="1" applyFont="1" applyFill="1" applyBorder="1" applyAlignment="1">
      <alignment horizontal="center" vertical="center" wrapText="1"/>
    </xf>
    <xf numFmtId="0" fontId="22" fillId="0" borderId="25" xfId="97" applyNumberFormat="1" applyFont="1" applyFill="1" applyBorder="1" applyAlignment="1">
      <alignment horizontal="center" vertical="center" wrapText="1"/>
    </xf>
    <xf numFmtId="0" fontId="22" fillId="0" borderId="17" xfId="97" applyNumberFormat="1" applyFont="1" applyFill="1" applyBorder="1" applyAlignment="1">
      <alignment horizontal="center" vertical="center" wrapText="1"/>
    </xf>
    <xf numFmtId="0" fontId="22" fillId="0" borderId="6" xfId="97" applyNumberFormat="1" applyFont="1" applyFill="1" applyBorder="1" applyAlignment="1">
      <alignment horizontal="center" vertical="center"/>
    </xf>
    <xf numFmtId="0" fontId="22" fillId="0" borderId="21" xfId="97" applyNumberFormat="1" applyFont="1" applyFill="1" applyBorder="1" applyAlignment="1">
      <alignment horizontal="center" vertical="center"/>
    </xf>
    <xf numFmtId="0" fontId="22" fillId="0" borderId="5" xfId="97" applyNumberFormat="1" applyFont="1" applyFill="1" applyBorder="1" applyAlignment="1">
      <alignment horizontal="center" vertical="center"/>
    </xf>
    <xf numFmtId="0" fontId="22" fillId="0" borderId="4" xfId="97" applyNumberFormat="1" applyFont="1" applyFill="1" applyBorder="1" applyAlignment="1">
      <alignment horizontal="center" vertical="center" wrapText="1"/>
    </xf>
    <xf numFmtId="0" fontId="22" fillId="0" borderId="20" xfId="97" applyNumberFormat="1" applyFont="1" applyFill="1" applyBorder="1" applyAlignment="1">
      <alignment horizontal="center" vertical="center" wrapText="1"/>
    </xf>
    <xf numFmtId="0" fontId="22" fillId="0" borderId="7" xfId="97" applyNumberFormat="1" applyFont="1" applyFill="1" applyBorder="1" applyAlignment="1">
      <alignment horizontal="center" vertical="center" wrapText="1"/>
    </xf>
    <xf numFmtId="0" fontId="22" fillId="0" borderId="5" xfId="97" applyNumberFormat="1" applyFont="1" applyFill="1" applyBorder="1" applyAlignment="1">
      <alignment horizontal="center" vertical="center" wrapText="1"/>
    </xf>
    <xf numFmtId="0" fontId="22" fillId="0" borderId="1" xfId="97" applyNumberFormat="1" applyFont="1" applyFill="1" applyBorder="1" applyAlignment="1">
      <alignment horizontal="center" vertical="center" wrapText="1"/>
    </xf>
    <xf numFmtId="0" fontId="22" fillId="0" borderId="10" xfId="97" applyNumberFormat="1" applyFont="1" applyFill="1" applyBorder="1" applyAlignment="1">
      <alignment horizontal="center" vertical="center" wrapText="1"/>
    </xf>
    <xf numFmtId="0" fontId="22" fillId="0" borderId="6" xfId="97" applyNumberFormat="1" applyFont="1" applyFill="1" applyBorder="1" applyAlignment="1">
      <alignment horizontal="center" vertical="center" wrapText="1"/>
    </xf>
    <xf numFmtId="0" fontId="22" fillId="0" borderId="14" xfId="97" applyNumberFormat="1" applyFont="1" applyFill="1" applyBorder="1" applyAlignment="1">
      <alignment horizontal="center" vertical="center" wrapText="1"/>
    </xf>
    <xf numFmtId="0" fontId="22" fillId="0" borderId="11" xfId="97" applyNumberFormat="1" applyFont="1" applyFill="1" applyBorder="1" applyAlignment="1">
      <alignment horizontal="center" vertical="center" wrapText="1"/>
    </xf>
    <xf numFmtId="0" fontId="22" fillId="0" borderId="34" xfId="97" applyNumberFormat="1" applyFont="1" applyFill="1" applyBorder="1" applyAlignment="1">
      <alignment horizontal="center" vertical="center"/>
    </xf>
    <xf numFmtId="0" fontId="22" fillId="0" borderId="32" xfId="97" applyNumberFormat="1" applyFont="1" applyFill="1" applyBorder="1" applyAlignment="1">
      <alignment horizontal="center" vertical="center"/>
    </xf>
    <xf numFmtId="0" fontId="22" fillId="0" borderId="33" xfId="97" applyNumberFormat="1" applyFont="1" applyFill="1" applyBorder="1" applyAlignment="1">
      <alignment horizontal="center" vertical="center"/>
    </xf>
    <xf numFmtId="0" fontId="22" fillId="0" borderId="14" xfId="97" applyNumberFormat="1" applyFont="1" applyFill="1" applyBorder="1" applyAlignment="1">
      <alignment horizontal="center" vertical="center"/>
    </xf>
    <xf numFmtId="0" fontId="22" fillId="0" borderId="1" xfId="97" applyNumberFormat="1" applyFont="1" applyFill="1" applyBorder="1" applyAlignment="1">
      <alignment horizontal="center" vertical="center"/>
    </xf>
    <xf numFmtId="0" fontId="22" fillId="0" borderId="0" xfId="97" applyNumberFormat="1" applyFont="1" applyFill="1" applyBorder="1" applyAlignment="1">
      <alignment horizontal="left" vertical="center" wrapText="1"/>
    </xf>
    <xf numFmtId="0" fontId="22" fillId="0" borderId="0" xfId="97" applyNumberFormat="1" applyFont="1" applyFill="1" applyBorder="1" applyAlignment="1">
      <alignment horizontal="left" vertical="center"/>
    </xf>
    <xf numFmtId="0" fontId="22" fillId="0" borderId="0" xfId="97" applyNumberFormat="1" applyFont="1" applyFill="1" applyBorder="1" applyAlignment="1">
      <alignment vertical="center"/>
    </xf>
    <xf numFmtId="0" fontId="22" fillId="0" borderId="2" xfId="97" applyNumberFormat="1" applyFont="1" applyFill="1" applyBorder="1" applyAlignment="1">
      <alignment horizontal="center" vertical="center"/>
    </xf>
    <xf numFmtId="0" fontId="22" fillId="0" borderId="12" xfId="97" applyNumberFormat="1" applyFont="1" applyFill="1" applyBorder="1" applyAlignment="1">
      <alignment horizontal="center" vertical="center"/>
    </xf>
    <xf numFmtId="0" fontId="22" fillId="0" borderId="13" xfId="97" applyNumberFormat="1" applyFont="1" applyFill="1" applyBorder="1" applyAlignment="1">
      <alignment vertical="center"/>
    </xf>
    <xf numFmtId="0" fontId="22" fillId="0" borderId="0" xfId="97" applyNumberFormat="1" applyFont="1" applyFill="1" applyAlignment="1">
      <alignment horizontal="right" vertical="center"/>
    </xf>
    <xf numFmtId="0" fontId="31" fillId="0" borderId="0" xfId="97" applyNumberFormat="1" applyFont="1" applyFill="1" applyAlignment="1">
      <alignment horizontal="center" vertical="center" wrapText="1"/>
    </xf>
    <xf numFmtId="0" fontId="22" fillId="0" borderId="0" xfId="97" applyNumberFormat="1" applyFont="1" applyFill="1" applyAlignment="1">
      <alignment horizontal="center" vertical="center" wrapText="1"/>
    </xf>
    <xf numFmtId="0" fontId="22" fillId="0" borderId="23" xfId="97" applyNumberFormat="1" applyFont="1" applyFill="1" applyBorder="1" applyAlignment="1">
      <alignment horizontal="center" vertical="center" wrapText="1"/>
    </xf>
    <xf numFmtId="0" fontId="22" fillId="0" borderId="3" xfId="97" applyNumberFormat="1" applyFont="1" applyFill="1" applyBorder="1" applyAlignment="1">
      <alignment horizontal="center" vertical="center" wrapText="1"/>
    </xf>
    <xf numFmtId="0" fontId="2" fillId="0" borderId="38" xfId="97" applyNumberFormat="1" applyFont="1" applyFill="1" applyBorder="1" applyAlignment="1">
      <alignment horizontal="center" vertical="center" wrapText="1"/>
    </xf>
    <xf numFmtId="0" fontId="2" fillId="0" borderId="25" xfId="97" applyNumberFormat="1" applyFont="1" applyFill="1" applyBorder="1" applyAlignment="1">
      <alignment horizontal="center" vertical="center" wrapText="1"/>
    </xf>
    <xf numFmtId="0" fontId="2" fillId="0" borderId="39" xfId="97" applyNumberFormat="1" applyFont="1" applyFill="1" applyBorder="1" applyAlignment="1">
      <alignment horizontal="center" vertical="center"/>
    </xf>
    <xf numFmtId="0" fontId="2" fillId="0" borderId="20" xfId="97" applyNumberFormat="1" applyFont="1" applyFill="1" applyBorder="1" applyAlignment="1">
      <alignment horizontal="center" vertical="center"/>
    </xf>
    <xf numFmtId="0" fontId="2" fillId="0" borderId="39" xfId="97" applyNumberFormat="1" applyFont="1" applyFill="1" applyBorder="1" applyAlignment="1">
      <alignment horizontal="center" vertical="center" wrapText="1"/>
    </xf>
    <xf numFmtId="0" fontId="2" fillId="0" borderId="20" xfId="97" applyNumberFormat="1" applyFont="1" applyFill="1" applyBorder="1" applyAlignment="1">
      <alignment horizontal="center" vertical="center" wrapText="1"/>
    </xf>
    <xf numFmtId="0" fontId="2" fillId="0" borderId="27" xfId="97" applyNumberFormat="1" applyFont="1" applyFill="1" applyBorder="1" applyAlignment="1">
      <alignment horizontal="center" vertical="center" wrapText="1"/>
    </xf>
    <xf numFmtId="0" fontId="2" fillId="0" borderId="26" xfId="97" applyNumberFormat="1" applyFont="1" applyFill="1" applyBorder="1" applyAlignment="1">
      <alignment horizontal="center" vertical="center" wrapText="1"/>
    </xf>
    <xf numFmtId="0" fontId="2" fillId="0" borderId="13" xfId="97" applyNumberFormat="1" applyFont="1" applyFill="1" applyBorder="1" applyAlignment="1">
      <alignment horizontal="center" vertical="center"/>
    </xf>
    <xf numFmtId="0" fontId="2" fillId="0" borderId="34" xfId="97" applyNumberFormat="1" applyFont="1" applyFill="1" applyBorder="1" applyAlignment="1">
      <alignment horizontal="center" vertical="center" wrapText="1"/>
    </xf>
    <xf numFmtId="0" fontId="2" fillId="0" borderId="33" xfId="97" applyNumberFormat="1" applyFont="1" applyFill="1" applyBorder="1" applyAlignment="1">
      <alignment horizontal="center" vertical="center" wrapText="1"/>
    </xf>
    <xf numFmtId="0" fontId="2" fillId="0" borderId="32" xfId="97" applyNumberFormat="1" applyFont="1" applyFill="1" applyBorder="1" applyAlignment="1">
      <alignment horizontal="center" vertical="center" wrapText="1"/>
    </xf>
    <xf numFmtId="0" fontId="2" fillId="0" borderId="6" xfId="97" applyNumberFormat="1" applyFont="1" applyFill="1" applyBorder="1" applyAlignment="1">
      <alignment horizontal="center" vertical="center" wrapText="1"/>
    </xf>
    <xf numFmtId="0" fontId="2" fillId="0" borderId="5" xfId="97" applyNumberFormat="1" applyFont="1" applyFill="1" applyBorder="1" applyAlignment="1">
      <alignment horizontal="center" vertical="center" wrapText="1"/>
    </xf>
    <xf numFmtId="0" fontId="2" fillId="0" borderId="40" xfId="97" applyNumberFormat="1" applyFont="1" applyFill="1" applyBorder="1" applyAlignment="1">
      <alignment horizontal="center" vertical="center" wrapText="1"/>
    </xf>
    <xf numFmtId="0" fontId="2" fillId="0" borderId="41" xfId="97" applyNumberFormat="1" applyFont="1" applyFill="1" applyBorder="1" applyAlignment="1">
      <alignment horizontal="center" vertical="center"/>
    </xf>
    <xf numFmtId="0" fontId="17" fillId="0" borderId="20" xfId="97" applyNumberFormat="1" applyFont="1" applyFill="1" applyBorder="1" applyAlignment="1">
      <alignment horizontal="center" vertical="top" wrapText="1"/>
    </xf>
    <xf numFmtId="0" fontId="17" fillId="0" borderId="7" xfId="97" applyNumberFormat="1" applyFont="1" applyFill="1" applyBorder="1" applyAlignment="1">
      <alignment horizontal="center" vertical="top" wrapText="1"/>
    </xf>
    <xf numFmtId="0" fontId="22" fillId="0" borderId="12" xfId="97" applyNumberFormat="1" applyFont="1" applyFill="1" applyBorder="1" applyAlignment="1">
      <alignment horizontal="center" vertical="center" wrapText="1"/>
    </xf>
    <xf numFmtId="0" fontId="17" fillId="0" borderId="25" xfId="97" applyNumberFormat="1" applyFont="1" applyFill="1" applyBorder="1" applyAlignment="1">
      <alignment horizontal="center" vertical="top" wrapText="1"/>
    </xf>
    <xf numFmtId="0" fontId="17" fillId="0" borderId="17" xfId="97" applyNumberFormat="1" applyFont="1" applyFill="1" applyBorder="1" applyAlignment="1">
      <alignment horizontal="center" vertical="top" wrapText="1"/>
    </xf>
    <xf numFmtId="0" fontId="22" fillId="0" borderId="0" xfId="97" applyNumberFormat="1" applyFont="1" applyFill="1" applyAlignment="1">
      <alignment horizontal="center" vertical="center"/>
    </xf>
    <xf numFmtId="0" fontId="22" fillId="0" borderId="15" xfId="97" applyNumberFormat="1" applyFont="1" applyFill="1" applyBorder="1" applyAlignment="1">
      <alignment horizontal="center" vertical="center" wrapText="1"/>
    </xf>
    <xf numFmtId="0" fontId="22" fillId="0" borderId="13" xfId="97" applyNumberFormat="1" applyFont="1" applyFill="1" applyBorder="1" applyAlignment="1">
      <alignment horizontal="center" vertical="center" wrapText="1"/>
    </xf>
    <xf numFmtId="0" fontId="22" fillId="0" borderId="8" xfId="97" applyNumberFormat="1" applyFont="1" applyFill="1" applyBorder="1" applyAlignment="1">
      <alignment horizontal="center" vertical="center" wrapText="1"/>
    </xf>
    <xf numFmtId="0" fontId="22" fillId="0" borderId="0" xfId="97" applyNumberFormat="1" applyFont="1" applyFill="1" applyBorder="1" applyAlignment="1">
      <alignment horizontal="center" vertical="center" wrapText="1"/>
    </xf>
    <xf numFmtId="0" fontId="22" fillId="0" borderId="27" xfId="97" applyNumberFormat="1" applyFont="1" applyFill="1" applyBorder="1" applyAlignment="1">
      <alignment horizontal="center" vertical="center" wrapText="1"/>
    </xf>
    <xf numFmtId="0" fontId="22" fillId="0" borderId="31" xfId="97" applyNumberFormat="1" applyFont="1" applyFill="1" applyBorder="1" applyAlignment="1">
      <alignment horizontal="center" vertical="center" wrapText="1"/>
    </xf>
    <xf numFmtId="0" fontId="22" fillId="0" borderId="32" xfId="97" applyNumberFormat="1" applyFont="1" applyFill="1" applyBorder="1" applyAlignment="1">
      <alignment horizontal="center" vertical="center" wrapText="1"/>
    </xf>
    <xf numFmtId="0" fontId="22" fillId="0" borderId="33" xfId="97" applyNumberFormat="1" applyFont="1" applyFill="1" applyBorder="1" applyAlignment="1">
      <alignment horizontal="center" vertical="center" wrapText="1"/>
    </xf>
    <xf numFmtId="0" fontId="22" fillId="0" borderId="22" xfId="97" applyNumberFormat="1" applyFont="1" applyFill="1" applyBorder="1" applyAlignment="1">
      <alignment horizontal="center" vertical="center" wrapText="1"/>
    </xf>
    <xf numFmtId="0" fontId="22" fillId="0" borderId="22" xfId="97" applyNumberFormat="1" applyFont="1" applyFill="1" applyBorder="1" applyAlignment="1">
      <alignment horizontal="center" vertical="center"/>
    </xf>
    <xf numFmtId="0" fontId="22" fillId="0" borderId="34" xfId="97" applyNumberFormat="1" applyFont="1" applyFill="1" applyBorder="1" applyAlignment="1">
      <alignment horizontal="center" vertical="center" wrapText="1"/>
    </xf>
    <xf numFmtId="0" fontId="31" fillId="0" borderId="0" xfId="97" applyNumberFormat="1" applyFont="1" applyAlignment="1">
      <alignment horizontal="center" vertical="center"/>
    </xf>
    <xf numFmtId="0" fontId="22" fillId="0" borderId="0" xfId="97" applyNumberFormat="1" applyFont="1" applyAlignment="1">
      <alignment horizontal="center" vertical="center"/>
    </xf>
    <xf numFmtId="0" fontId="22" fillId="0" borderId="23" xfId="97" applyNumberFormat="1" applyFont="1" applyBorder="1" applyAlignment="1">
      <alignment horizontal="center" vertical="center" wrapText="1"/>
    </xf>
    <xf numFmtId="0" fontId="22" fillId="0" borderId="3" xfId="97" applyNumberFormat="1" applyFont="1" applyBorder="1" applyAlignment="1">
      <alignment horizontal="center" vertical="center" wrapText="1"/>
    </xf>
    <xf numFmtId="0" fontId="22" fillId="0" borderId="15" xfId="97" applyNumberFormat="1" applyFont="1" applyBorder="1" applyAlignment="1">
      <alignment horizontal="center" vertical="center" wrapText="1"/>
    </xf>
    <xf numFmtId="0" fontId="22" fillId="0" borderId="13" xfId="97" applyNumberFormat="1" applyFont="1" applyBorder="1" applyAlignment="1">
      <alignment horizontal="center" vertical="center" wrapText="1"/>
    </xf>
    <xf numFmtId="0" fontId="22" fillId="0" borderId="26" xfId="97" applyNumberFormat="1" applyFont="1" applyBorder="1" applyAlignment="1">
      <alignment horizontal="center" vertical="center" wrapText="1"/>
    </xf>
    <xf numFmtId="0" fontId="22" fillId="0" borderId="4" xfId="97" applyNumberFormat="1" applyFont="1" applyBorder="1" applyAlignment="1">
      <alignment horizontal="center" vertical="center" wrapText="1"/>
    </xf>
    <xf numFmtId="0" fontId="22" fillId="0" borderId="4" xfId="97" applyNumberFormat="1" applyFont="1" applyBorder="1" applyAlignment="1">
      <alignment horizontal="center" vertical="center"/>
    </xf>
    <xf numFmtId="0" fontId="22" fillId="0" borderId="5" xfId="97" applyNumberFormat="1" applyFont="1" applyBorder="1" applyAlignment="1">
      <alignment horizontal="center" vertical="center" wrapText="1"/>
    </xf>
    <xf numFmtId="0" fontId="22" fillId="0" borderId="12" xfId="97" applyNumberFormat="1" applyFont="1" applyBorder="1" applyAlignment="1">
      <alignment horizontal="center" vertical="center" wrapText="1"/>
    </xf>
    <xf numFmtId="0" fontId="22" fillId="0" borderId="34" xfId="97" applyNumberFormat="1" applyFont="1" applyBorder="1" applyAlignment="1">
      <alignment horizontal="center" vertical="center" wrapText="1"/>
    </xf>
    <xf numFmtId="0" fontId="22" fillId="0" borderId="33" xfId="97" applyNumberFormat="1" applyFont="1" applyBorder="1" applyAlignment="1">
      <alignment horizontal="center" vertical="center"/>
    </xf>
    <xf numFmtId="0" fontId="22" fillId="0" borderId="34" xfId="97" applyNumberFormat="1" applyFont="1" applyBorder="1" applyAlignment="1">
      <alignment horizontal="center" vertical="center"/>
    </xf>
    <xf numFmtId="0" fontId="22" fillId="0" borderId="32" xfId="97" applyNumberFormat="1" applyFont="1" applyBorder="1" applyAlignment="1">
      <alignment horizontal="center" vertical="center" wrapText="1"/>
    </xf>
    <xf numFmtId="0" fontId="22" fillId="0" borderId="33" xfId="97" applyNumberFormat="1" applyFont="1" applyBorder="1" applyAlignment="1">
      <alignment horizontal="center" vertical="center" wrapText="1"/>
    </xf>
    <xf numFmtId="0" fontId="22" fillId="0" borderId="22" xfId="97" applyNumberFormat="1" applyFont="1" applyBorder="1" applyAlignment="1">
      <alignment horizontal="center" vertical="top" wrapText="1"/>
    </xf>
    <xf numFmtId="0" fontId="22" fillId="0" borderId="14" xfId="97" applyFont="1" applyBorder="1" applyAlignment="1">
      <alignment horizontal="center" vertical="center" wrapText="1"/>
    </xf>
    <xf numFmtId="0" fontId="22" fillId="0" borderId="11" xfId="97" applyFont="1" applyBorder="1" applyAlignment="1">
      <alignment horizontal="center" vertical="center" wrapText="1"/>
    </xf>
    <xf numFmtId="0" fontId="22" fillId="0" borderId="27" xfId="97" applyNumberFormat="1" applyFont="1" applyBorder="1" applyAlignment="1">
      <alignment horizontal="center" vertical="center" wrapText="1"/>
    </xf>
    <xf numFmtId="0" fontId="22" fillId="0" borderId="14" xfId="97" applyNumberFormat="1" applyFont="1" applyBorder="1" applyAlignment="1">
      <alignment horizontal="center" vertical="center" wrapText="1"/>
    </xf>
    <xf numFmtId="0" fontId="22" fillId="0" borderId="24" xfId="97" applyNumberFormat="1" applyFont="1" applyBorder="1" applyAlignment="1">
      <alignment horizontal="center" vertical="center" wrapText="1"/>
    </xf>
    <xf numFmtId="0" fontId="22" fillId="0" borderId="21" xfId="97" applyNumberFormat="1" applyFont="1" applyBorder="1" applyAlignment="1">
      <alignment horizontal="center" vertical="center" wrapText="1"/>
    </xf>
    <xf numFmtId="0" fontId="22" fillId="0" borderId="6" xfId="97" applyNumberFormat="1" applyFont="1" applyBorder="1" applyAlignment="1">
      <alignment horizontal="center" vertical="center" wrapText="1"/>
    </xf>
    <xf numFmtId="0" fontId="22" fillId="0" borderId="8" xfId="97" applyNumberFormat="1" applyFont="1" applyBorder="1" applyAlignment="1">
      <alignment horizontal="center" vertical="center" wrapText="1"/>
    </xf>
    <xf numFmtId="0" fontId="22" fillId="0" borderId="0" xfId="97" applyNumberFormat="1" applyFont="1" applyBorder="1" applyAlignment="1">
      <alignment horizontal="center" vertical="center" wrapText="1"/>
    </xf>
    <xf numFmtId="0" fontId="22" fillId="0" borderId="1" xfId="97" applyNumberFormat="1" applyFont="1" applyBorder="1" applyAlignment="1">
      <alignment horizontal="center" vertical="center" wrapText="1"/>
    </xf>
    <xf numFmtId="0" fontId="22" fillId="0" borderId="34" xfId="97" applyNumberFormat="1" applyFont="1" applyBorder="1" applyAlignment="1">
      <alignment horizontal="center" vertical="top" wrapText="1"/>
    </xf>
    <xf numFmtId="0" fontId="22" fillId="0" borderId="33" xfId="97" applyNumberFormat="1" applyFont="1" applyBorder="1" applyAlignment="1">
      <alignment horizontal="center" vertical="top" wrapText="1"/>
    </xf>
    <xf numFmtId="0" fontId="2" fillId="0" borderId="34" xfId="97" applyNumberFormat="1" applyFont="1" applyBorder="1" applyAlignment="1">
      <alignment horizontal="center" vertical="top" wrapText="1"/>
    </xf>
    <xf numFmtId="0" fontId="2" fillId="0" borderId="33" xfId="97" applyNumberFormat="1" applyFont="1" applyBorder="1" applyAlignment="1">
      <alignment horizontal="center" vertical="top" wrapText="1"/>
    </xf>
    <xf numFmtId="0" fontId="33" fillId="0" borderId="4" xfId="97" applyNumberFormat="1" applyFont="1" applyBorder="1" applyAlignment="1">
      <alignment horizontal="center" vertical="center" wrapText="1"/>
    </xf>
    <xf numFmtId="0" fontId="33" fillId="0" borderId="5" xfId="97" applyNumberFormat="1" applyFont="1" applyBorder="1" applyAlignment="1">
      <alignment horizontal="center" vertical="center" wrapText="1"/>
    </xf>
    <xf numFmtId="0" fontId="33" fillId="0" borderId="32" xfId="97" applyNumberFormat="1" applyFont="1" applyBorder="1" applyAlignment="1">
      <alignment horizontal="center" vertical="top" wrapText="1"/>
    </xf>
    <xf numFmtId="0" fontId="33" fillId="0" borderId="33" xfId="97" applyNumberFormat="1" applyFont="1" applyBorder="1" applyAlignment="1">
      <alignment horizontal="center" vertical="top" wrapText="1"/>
    </xf>
    <xf numFmtId="0" fontId="22" fillId="0" borderId="38" xfId="97" applyNumberFormat="1" applyFont="1" applyFill="1" applyBorder="1" applyAlignment="1">
      <alignment horizontal="center" vertical="center" wrapText="1"/>
    </xf>
    <xf numFmtId="0" fontId="22" fillId="0" borderId="39" xfId="97" applyNumberFormat="1" applyFont="1" applyFill="1" applyBorder="1" applyAlignment="1">
      <alignment horizontal="center" vertical="center" wrapText="1"/>
    </xf>
    <xf numFmtId="0" fontId="22" fillId="0" borderId="26" xfId="97" applyNumberFormat="1" applyFont="1" applyFill="1" applyBorder="1" applyAlignment="1">
      <alignment horizontal="center" vertical="center" wrapText="1"/>
    </xf>
    <xf numFmtId="0" fontId="22" fillId="0" borderId="42" xfId="97" applyNumberFormat="1" applyFont="1" applyFill="1" applyBorder="1" applyAlignment="1">
      <alignment horizontal="center" vertical="center" wrapText="1"/>
    </xf>
    <xf numFmtId="0" fontId="22" fillId="0" borderId="0" xfId="0" applyNumberFormat="1" applyFont="1" applyBorder="1" applyAlignment="1">
      <alignment horizontal="center" vertical="center" wrapText="1"/>
    </xf>
    <xf numFmtId="0" fontId="22" fillId="0" borderId="20" xfId="97" applyNumberFormat="1" applyFont="1" applyBorder="1" applyAlignment="1">
      <alignment horizontal="center" vertical="center" wrapText="1"/>
    </xf>
    <xf numFmtId="0" fontId="22" fillId="0" borderId="7" xfId="97" applyNumberFormat="1" applyFont="1" applyBorder="1" applyAlignment="1">
      <alignment horizontal="center" vertical="center" wrapText="1"/>
    </xf>
    <xf numFmtId="0" fontId="22" fillId="0" borderId="20" xfId="97" applyNumberFormat="1" applyFont="1" applyBorder="1" applyAlignment="1">
      <alignment horizontal="center" vertical="center"/>
    </xf>
    <xf numFmtId="0" fontId="22" fillId="0" borderId="7" xfId="97" applyNumberFormat="1" applyFont="1" applyBorder="1" applyAlignment="1">
      <alignment horizontal="center" vertical="center"/>
    </xf>
    <xf numFmtId="0" fontId="22" fillId="0" borderId="25" xfId="97" applyNumberFormat="1" applyFont="1" applyBorder="1" applyAlignment="1">
      <alignment horizontal="center" vertical="center" wrapText="1"/>
    </xf>
    <xf numFmtId="0" fontId="22" fillId="0" borderId="17" xfId="97" applyNumberFormat="1" applyFont="1" applyBorder="1" applyAlignment="1">
      <alignment horizontal="center" vertical="center" wrapText="1"/>
    </xf>
    <xf numFmtId="0" fontId="22" fillId="0" borderId="10" xfId="97" applyNumberFormat="1" applyFont="1" applyBorder="1" applyAlignment="1">
      <alignment horizontal="center" vertical="center" wrapText="1"/>
    </xf>
    <xf numFmtId="0" fontId="22" fillId="0" borderId="11" xfId="97" applyNumberFormat="1" applyFont="1" applyBorder="1" applyAlignment="1">
      <alignment horizontal="center" vertical="center" wrapText="1"/>
    </xf>
    <xf numFmtId="0" fontId="22" fillId="0" borderId="21" xfId="0" applyNumberFormat="1" applyFont="1" applyBorder="1" applyAlignment="1">
      <alignment horizontal="center" vertical="center" wrapText="1"/>
    </xf>
    <xf numFmtId="0" fontId="22" fillId="0" borderId="31" xfId="97" applyNumberFormat="1" applyFont="1" applyBorder="1" applyAlignment="1">
      <alignment horizontal="center" vertical="center" wrapText="1"/>
    </xf>
    <xf numFmtId="0" fontId="22" fillId="0" borderId="22" xfId="97" applyNumberFormat="1" applyFont="1" applyBorder="1" applyAlignment="1">
      <alignment horizontal="center" vertical="center"/>
    </xf>
    <xf numFmtId="0" fontId="31" fillId="0" borderId="0" xfId="97" applyNumberFormat="1" applyFont="1" applyAlignment="1">
      <alignment horizontal="center" vertical="center" wrapText="1"/>
    </xf>
    <xf numFmtId="0" fontId="22" fillId="0" borderId="0" xfId="97" applyNumberFormat="1" applyFont="1" applyAlignment="1">
      <alignment horizontal="right" vertical="center"/>
    </xf>
    <xf numFmtId="0" fontId="22" fillId="0" borderId="13" xfId="97" applyNumberFormat="1" applyFont="1" applyBorder="1" applyAlignment="1">
      <alignment horizontal="center" vertical="center"/>
    </xf>
    <xf numFmtId="0" fontId="22" fillId="0" borderId="26" xfId="97" applyNumberFormat="1" applyFont="1" applyBorder="1" applyAlignment="1">
      <alignment horizontal="center" vertical="center"/>
    </xf>
    <xf numFmtId="0" fontId="22" fillId="0" borderId="39" xfId="97" applyNumberFormat="1" applyFont="1" applyBorder="1" applyAlignment="1">
      <alignment horizontal="center" vertical="center"/>
    </xf>
    <xf numFmtId="0" fontId="22" fillId="0" borderId="38" xfId="97" applyNumberFormat="1" applyFont="1" applyBorder="1" applyAlignment="1">
      <alignment horizontal="center" vertical="center"/>
    </xf>
    <xf numFmtId="0" fontId="22" fillId="0" borderId="0" xfId="97" applyNumberFormat="1" applyFont="1" applyBorder="1" applyAlignment="1">
      <alignment horizontal="center" vertical="center"/>
    </xf>
    <xf numFmtId="0" fontId="22" fillId="0" borderId="1" xfId="97" applyNumberFormat="1" applyFont="1" applyBorder="1" applyAlignment="1">
      <alignment horizontal="center" vertical="center"/>
    </xf>
    <xf numFmtId="0" fontId="22" fillId="0" borderId="27" xfId="97" applyNumberFormat="1" applyFont="1" applyBorder="1" applyAlignment="1">
      <alignment horizontal="center" vertical="center"/>
    </xf>
    <xf numFmtId="0" fontId="22" fillId="0" borderId="14" xfId="97" applyNumberFormat="1" applyFont="1" applyBorder="1" applyAlignment="1">
      <alignment horizontal="center" vertical="center"/>
    </xf>
    <xf numFmtId="0" fontId="22" fillId="0" borderId="42" xfId="97" applyNumberFormat="1" applyFont="1" applyBorder="1" applyAlignment="1">
      <alignment horizontal="center" vertical="center"/>
    </xf>
    <xf numFmtId="0" fontId="22" fillId="0" borderId="6" xfId="97" applyNumberFormat="1" applyFont="1" applyBorder="1" applyAlignment="1">
      <alignment horizontal="center" vertical="center"/>
    </xf>
    <xf numFmtId="0" fontId="22" fillId="0" borderId="5" xfId="97" applyNumberFormat="1" applyFont="1" applyBorder="1" applyAlignment="1">
      <alignment horizontal="center" vertical="center"/>
    </xf>
    <xf numFmtId="0" fontId="22" fillId="0" borderId="32" xfId="97" applyNumberFormat="1" applyFont="1" applyBorder="1" applyAlignment="1">
      <alignment horizontal="center" vertical="center"/>
    </xf>
    <xf numFmtId="0" fontId="22" fillId="0" borderId="14" xfId="97" applyNumberFormat="1" applyFont="1" applyBorder="1" applyAlignment="1">
      <alignment horizontal="center" vertical="top" wrapText="1"/>
    </xf>
    <xf numFmtId="0" fontId="22" fillId="0" borderId="1" xfId="97" applyNumberFormat="1" applyFont="1" applyBorder="1" applyAlignment="1">
      <alignment horizontal="center" vertical="top" wrapText="1"/>
    </xf>
    <xf numFmtId="0" fontId="22" fillId="0" borderId="20" xfId="97" applyNumberFormat="1" applyFont="1" applyBorder="1" applyAlignment="1">
      <alignment horizontal="center" vertical="top" wrapText="1"/>
    </xf>
    <xf numFmtId="0" fontId="22" fillId="0" borderId="22" xfId="97" applyNumberFormat="1" applyFont="1" applyBorder="1" applyAlignment="1">
      <alignment horizontal="center" vertical="center" wrapText="1"/>
    </xf>
    <xf numFmtId="0" fontId="32" fillId="0" borderId="20" xfId="97" applyNumberFormat="1" applyFont="1" applyBorder="1" applyAlignment="1">
      <alignment horizontal="center" vertical="center" wrapText="1"/>
    </xf>
    <xf numFmtId="0" fontId="32" fillId="0" borderId="7" xfId="97" applyNumberFormat="1" applyFont="1" applyBorder="1" applyAlignment="1">
      <alignment horizontal="center" vertical="center" wrapText="1"/>
    </xf>
    <xf numFmtId="0" fontId="22" fillId="0" borderId="0" xfId="97" applyNumberFormat="1" applyFont="1" applyBorder="1" applyAlignment="1">
      <alignment horizontal="center" vertical="top" wrapText="1"/>
    </xf>
    <xf numFmtId="0" fontId="22" fillId="0" borderId="32" xfId="97" applyNumberFormat="1" applyFont="1" applyBorder="1" applyAlignment="1">
      <alignment horizontal="center" vertical="top" wrapText="1"/>
    </xf>
    <xf numFmtId="0" fontId="22" fillId="0" borderId="2" xfId="97" applyNumberFormat="1" applyFont="1" applyBorder="1" applyAlignment="1">
      <alignment horizontal="right" vertical="center"/>
    </xf>
    <xf numFmtId="0" fontId="22" fillId="0" borderId="39" xfId="97" applyNumberFormat="1" applyFont="1" applyBorder="1" applyAlignment="1">
      <alignment horizontal="center" vertical="center" wrapText="1"/>
    </xf>
    <xf numFmtId="0" fontId="22" fillId="0" borderId="24" xfId="97" applyNumberFormat="1" applyFont="1" applyBorder="1" applyAlignment="1">
      <alignment horizontal="center" vertical="center"/>
    </xf>
    <xf numFmtId="0" fontId="22" fillId="0" borderId="21" xfId="97" applyNumberFormat="1" applyFont="1" applyBorder="1" applyAlignment="1">
      <alignment horizontal="center" vertical="center"/>
    </xf>
    <xf numFmtId="0" fontId="22" fillId="0" borderId="35" xfId="97" applyNumberFormat="1" applyFont="1" applyBorder="1" applyAlignment="1">
      <alignment horizontal="center" vertical="center" justifyLastLine="1"/>
    </xf>
    <xf numFmtId="0" fontId="22" fillId="0" borderId="36" xfId="97" applyNumberFormat="1" applyFont="1" applyBorder="1" applyAlignment="1">
      <alignment horizontal="center" vertical="center" justifyLastLine="1"/>
    </xf>
    <xf numFmtId="0" fontId="22" fillId="0" borderId="3" xfId="97" applyNumberFormat="1" applyFont="1" applyBorder="1" applyAlignment="1">
      <alignment horizontal="center" vertical="center"/>
    </xf>
    <xf numFmtId="0" fontId="22" fillId="0" borderId="41" xfId="97" applyNumberFormat="1" applyFont="1" applyBorder="1" applyAlignment="1">
      <alignment horizontal="center" vertical="center" justifyLastLine="1"/>
    </xf>
    <xf numFmtId="0" fontId="22" fillId="0" borderId="19" xfId="97" applyNumberFormat="1" applyFont="1" applyBorder="1" applyAlignment="1">
      <alignment horizontal="center" vertical="center" justifyLastLine="1"/>
    </xf>
    <xf numFmtId="0" fontId="22" fillId="0" borderId="43" xfId="97" applyNumberFormat="1" applyFont="1" applyBorder="1" applyAlignment="1">
      <alignment horizontal="center" vertical="center" justifyLastLine="1"/>
    </xf>
    <xf numFmtId="0" fontId="22" fillId="0" borderId="35" xfId="97" applyNumberFormat="1" applyFont="1" applyBorder="1" applyAlignment="1">
      <alignment horizontal="center" vertical="center" wrapText="1"/>
    </xf>
    <xf numFmtId="0" fontId="22" fillId="0" borderId="36" xfId="97" applyNumberFormat="1" applyFont="1" applyBorder="1" applyAlignment="1">
      <alignment horizontal="center" vertical="center"/>
    </xf>
    <xf numFmtId="0" fontId="22" fillId="0" borderId="37" xfId="97" applyNumberFormat="1" applyFont="1" applyBorder="1" applyAlignment="1">
      <alignment horizontal="center" vertical="center"/>
    </xf>
    <xf numFmtId="0" fontId="22" fillId="0" borderId="13" xfId="97" applyNumberFormat="1" applyFont="1" applyBorder="1" applyAlignment="1">
      <alignment horizontal="center" vertical="center" wrapText="1" justifyLastLine="1"/>
    </xf>
    <xf numFmtId="0" fontId="22" fillId="0" borderId="26" xfId="97" applyNumberFormat="1" applyFont="1" applyBorder="1" applyAlignment="1">
      <alignment horizontal="center" vertical="center" justifyLastLine="1"/>
    </xf>
    <xf numFmtId="0" fontId="22" fillId="0" borderId="27" xfId="97" applyNumberFormat="1" applyFont="1" applyBorder="1" applyAlignment="1">
      <alignment horizontal="center" vertical="center" wrapText="1" justifyLastLine="1"/>
    </xf>
    <xf numFmtId="0" fontId="22" fillId="0" borderId="14" xfId="97" applyNumberFormat="1" applyFont="1" applyBorder="1" applyAlignment="1">
      <alignment horizontal="center" vertical="center" wrapText="1" justifyLastLine="1"/>
    </xf>
    <xf numFmtId="0" fontId="22" fillId="0" borderId="44" xfId="97" applyNumberFormat="1" applyFont="1" applyBorder="1" applyAlignment="1">
      <alignment horizontal="center" vertical="center" justifyLastLine="1"/>
    </xf>
    <xf numFmtId="0" fontId="22" fillId="0" borderId="0" xfId="97" applyNumberFormat="1" applyFont="1" applyBorder="1" applyAlignment="1">
      <alignment horizontal="right" vertical="center"/>
    </xf>
    <xf numFmtId="0" fontId="22" fillId="0" borderId="23" xfId="97" applyNumberFormat="1" applyFont="1" applyBorder="1" applyAlignment="1">
      <alignment horizontal="center" vertical="center"/>
    </xf>
    <xf numFmtId="0" fontId="22" fillId="0" borderId="12" xfId="97" applyNumberFormat="1" applyFont="1" applyBorder="1" applyAlignment="1">
      <alignment horizontal="center" vertical="center"/>
    </xf>
    <xf numFmtId="0" fontId="22" fillId="0" borderId="31" xfId="97" applyNumberFormat="1" applyFont="1" applyBorder="1" applyAlignment="1">
      <alignment horizontal="center" vertical="distributed"/>
    </xf>
    <xf numFmtId="0" fontId="22" fillId="0" borderId="33" xfId="97" applyNumberFormat="1" applyFont="1" applyBorder="1" applyAlignment="1">
      <alignment horizontal="center" vertical="distributed"/>
    </xf>
    <xf numFmtId="0" fontId="22" fillId="0" borderId="15" xfId="97" applyNumberFormat="1" applyFont="1" applyBorder="1" applyAlignment="1">
      <alignment horizontal="center" vertical="distributed"/>
    </xf>
    <xf numFmtId="0" fontId="22" fillId="0" borderId="13" xfId="97" applyNumberFormat="1" applyFont="1" applyBorder="1" applyAlignment="1">
      <alignment horizontal="center" vertical="distributed"/>
    </xf>
    <xf numFmtId="0" fontId="22" fillId="0" borderId="8" xfId="97" applyNumberFormat="1" applyFont="1" applyBorder="1" applyAlignment="1">
      <alignment horizontal="center" vertical="distributed"/>
    </xf>
    <xf numFmtId="0" fontId="22" fillId="0" borderId="0" xfId="97" applyNumberFormat="1" applyFont="1" applyBorder="1" applyAlignment="1">
      <alignment horizontal="center" vertical="distributed"/>
    </xf>
    <xf numFmtId="0" fontId="22" fillId="0" borderId="27" xfId="97" applyNumberFormat="1" applyFont="1" applyBorder="1" applyAlignment="1">
      <alignment horizontal="center" vertical="distributed"/>
    </xf>
    <xf numFmtId="0" fontId="22" fillId="0" borderId="34" xfId="97" applyNumberFormat="1" applyFont="1" applyBorder="1" applyAlignment="1">
      <alignment horizontal="center" vertical="distributed" wrapText="1"/>
    </xf>
    <xf numFmtId="0" fontId="22" fillId="0" borderId="32" xfId="97" applyNumberFormat="1" applyFont="1" applyBorder="1" applyAlignment="1">
      <alignment horizontal="center" vertical="distributed" wrapText="1"/>
    </xf>
    <xf numFmtId="0" fontId="22" fillId="0" borderId="32" xfId="97" applyNumberFormat="1" applyFont="1" applyBorder="1" applyAlignment="1">
      <alignment horizontal="center" vertical="top"/>
    </xf>
    <xf numFmtId="0" fontId="22" fillId="0" borderId="45" xfId="97" applyNumberFormat="1" applyFont="1" applyBorder="1" applyAlignment="1">
      <alignment horizontal="center" vertical="top" wrapText="1"/>
    </xf>
    <xf numFmtId="0" fontId="22" fillId="0" borderId="46" xfId="97" applyNumberFormat="1" applyFont="1" applyBorder="1" applyAlignment="1">
      <alignment horizontal="center" vertical="center" wrapText="1"/>
    </xf>
    <xf numFmtId="0" fontId="22" fillId="0" borderId="47" xfId="97" applyNumberFormat="1" applyFont="1" applyBorder="1" applyAlignment="1">
      <alignment horizontal="center" vertical="center"/>
    </xf>
    <xf numFmtId="0" fontId="22" fillId="0" borderId="0" xfId="97" applyNumberFormat="1" applyFont="1" applyFill="1" applyBorder="1" applyAlignment="1">
      <alignment vertical="center" wrapText="1"/>
    </xf>
    <xf numFmtId="0" fontId="22" fillId="0" borderId="23" xfId="97" applyNumberFormat="1" applyFont="1" applyFill="1" applyBorder="1" applyAlignment="1">
      <alignment horizontal="center" vertical="center"/>
    </xf>
    <xf numFmtId="0" fontId="22" fillId="0" borderId="8" xfId="97" applyNumberFormat="1" applyFont="1" applyFill="1" applyBorder="1" applyAlignment="1">
      <alignment horizontal="center" vertical="center"/>
    </xf>
    <xf numFmtId="0" fontId="22" fillId="0" borderId="27" xfId="97" applyNumberFormat="1" applyFont="1" applyFill="1" applyBorder="1" applyAlignment="1">
      <alignment horizontal="center" vertical="center"/>
    </xf>
    <xf numFmtId="0" fontId="22" fillId="0" borderId="13" xfId="97" applyNumberFormat="1" applyFont="1" applyFill="1" applyBorder="1" applyAlignment="1">
      <alignment horizontal="center" vertical="center"/>
    </xf>
    <xf numFmtId="0" fontId="22" fillId="0" borderId="26" xfId="97" applyNumberFormat="1" applyFont="1" applyFill="1" applyBorder="1" applyAlignment="1">
      <alignment horizontal="center" vertical="center"/>
    </xf>
    <xf numFmtId="0" fontId="22" fillId="0" borderId="28" xfId="97" applyNumberFormat="1" applyFont="1" applyFill="1" applyBorder="1" applyAlignment="1">
      <alignment horizontal="center" vertical="center" wrapText="1"/>
    </xf>
    <xf numFmtId="0" fontId="22" fillId="0" borderId="37" xfId="97" applyNumberFormat="1" applyFont="1" applyFill="1" applyBorder="1" applyAlignment="1">
      <alignment horizontal="center" vertical="center" wrapText="1"/>
    </xf>
    <xf numFmtId="0" fontId="22" fillId="0" borderId="20" xfId="97" applyNumberFormat="1" applyFont="1" applyFill="1" applyBorder="1" applyAlignment="1">
      <alignment horizontal="center" vertical="center"/>
    </xf>
    <xf numFmtId="0" fontId="33" fillId="0" borderId="38" xfId="97" applyNumberFormat="1" applyFont="1" applyBorder="1" applyAlignment="1">
      <alignment horizontal="center" vertical="center" wrapText="1"/>
    </xf>
    <xf numFmtId="0" fontId="33" fillId="0" borderId="25" xfId="97" applyNumberFormat="1" applyFont="1" applyBorder="1" applyAlignment="1">
      <alignment horizontal="center" vertical="center" wrapText="1"/>
    </xf>
    <xf numFmtId="0" fontId="22" fillId="0" borderId="28" xfId="97" applyNumberFormat="1" applyFont="1" applyBorder="1" applyAlignment="1">
      <alignment horizontal="center" vertical="center" wrapText="1"/>
    </xf>
    <xf numFmtId="0" fontId="22" fillId="0" borderId="36" xfId="97" applyNumberFormat="1" applyFont="1" applyBorder="1" applyAlignment="1">
      <alignment horizontal="center" vertical="center" wrapText="1"/>
    </xf>
    <xf numFmtId="0" fontId="2" fillId="0" borderId="20" xfId="97" applyNumberFormat="1" applyFont="1" applyBorder="1" applyAlignment="1">
      <alignment horizontal="center" vertical="center" wrapText="1"/>
    </xf>
    <xf numFmtId="0" fontId="2" fillId="0" borderId="7" xfId="97" applyNumberFormat="1" applyFont="1" applyBorder="1" applyAlignment="1">
      <alignment horizontal="center" vertical="center" wrapText="1"/>
    </xf>
    <xf numFmtId="0" fontId="2" fillId="0" borderId="25" xfId="97" applyNumberFormat="1" applyFont="1" applyBorder="1" applyAlignment="1">
      <alignment horizontal="center" vertical="center" wrapText="1"/>
    </xf>
    <xf numFmtId="0" fontId="2" fillId="0" borderId="17" xfId="97" applyNumberFormat="1" applyFont="1" applyBorder="1" applyAlignment="1">
      <alignment horizontal="center" vertical="center" wrapText="1"/>
    </xf>
    <xf numFmtId="0" fontId="2" fillId="0" borderId="1" xfId="97" applyNumberFormat="1" applyFont="1" applyBorder="1" applyAlignment="1">
      <alignment horizontal="center" vertical="center" wrapText="1"/>
    </xf>
    <xf numFmtId="0" fontId="2" fillId="0" borderId="10" xfId="97" applyNumberFormat="1" applyFont="1" applyBorder="1" applyAlignment="1">
      <alignment horizontal="center" vertical="center" wrapText="1"/>
    </xf>
    <xf numFmtId="0" fontId="22" fillId="0" borderId="42" xfId="97" applyNumberFormat="1" applyFont="1" applyBorder="1" applyAlignment="1">
      <alignment horizontal="center" vertical="center" wrapText="1"/>
    </xf>
    <xf numFmtId="0" fontId="35" fillId="0" borderId="22" xfId="97" applyNumberFormat="1" applyFont="1" applyBorder="1" applyAlignment="1">
      <alignment horizontal="center" vertical="center" wrapText="1"/>
    </xf>
    <xf numFmtId="0" fontId="22" fillId="0" borderId="16" xfId="97" applyNumberFormat="1" applyFont="1" applyBorder="1" applyAlignment="1">
      <alignment horizontal="center" vertical="center" wrapText="1"/>
    </xf>
    <xf numFmtId="0" fontId="22" fillId="0" borderId="27" xfId="0" applyNumberFormat="1" applyFont="1" applyBorder="1" applyAlignment="1">
      <alignment horizontal="center" vertical="center"/>
    </xf>
    <xf numFmtId="0" fontId="22" fillId="0" borderId="4" xfId="0" applyNumberFormat="1" applyFont="1" applyBorder="1" applyAlignment="1">
      <alignment horizontal="center" vertical="center"/>
    </xf>
    <xf numFmtId="0" fontId="22" fillId="0" borderId="20" xfId="0" applyNumberFormat="1" applyFont="1" applyBorder="1" applyAlignment="1">
      <alignment horizontal="center" vertical="center"/>
    </xf>
    <xf numFmtId="0" fontId="22" fillId="0" borderId="4" xfId="0" applyNumberFormat="1" applyFont="1" applyBorder="1" applyAlignment="1">
      <alignment horizontal="center" vertical="center" wrapText="1"/>
    </xf>
    <xf numFmtId="0" fontId="22" fillId="0" borderId="20" xfId="0" applyNumberFormat="1" applyFont="1" applyBorder="1" applyAlignment="1">
      <alignment horizontal="center" vertical="center" wrapText="1"/>
    </xf>
    <xf numFmtId="0" fontId="22" fillId="0" borderId="6" xfId="0" applyNumberFormat="1" applyFont="1" applyBorder="1" applyAlignment="1">
      <alignment horizontal="center" vertical="center" wrapText="1"/>
    </xf>
    <xf numFmtId="0" fontId="22" fillId="0" borderId="14" xfId="0" applyNumberFormat="1" applyFont="1" applyBorder="1" applyAlignment="1">
      <alignment horizontal="center" vertical="center"/>
    </xf>
    <xf numFmtId="0" fontId="22" fillId="0" borderId="27" xfId="0" applyNumberFormat="1" applyFont="1" applyFill="1" applyBorder="1" applyAlignment="1">
      <alignment horizontal="center" vertical="center"/>
    </xf>
    <xf numFmtId="0" fontId="22" fillId="0" borderId="13" xfId="0" applyNumberFormat="1" applyFont="1" applyFill="1" applyBorder="1" applyAlignment="1">
      <alignment horizontal="center" vertical="center"/>
    </xf>
    <xf numFmtId="0" fontId="22" fillId="0" borderId="26" xfId="0" applyNumberFormat="1" applyFont="1" applyBorder="1" applyAlignment="1">
      <alignment horizontal="center" vertical="center"/>
    </xf>
    <xf numFmtId="0" fontId="22" fillId="0" borderId="34" xfId="0" applyNumberFormat="1" applyFont="1" applyBorder="1" applyAlignment="1">
      <alignment horizontal="center" vertical="center"/>
    </xf>
    <xf numFmtId="0" fontId="22" fillId="0" borderId="33" xfId="0" applyNumberFormat="1" applyFont="1" applyBorder="1" applyAlignment="1">
      <alignment horizontal="center" vertical="center"/>
    </xf>
    <xf numFmtId="0" fontId="22" fillId="0" borderId="5" xfId="0" applyNumberFormat="1" applyFont="1" applyBorder="1" applyAlignment="1">
      <alignment horizontal="center" vertical="center"/>
    </xf>
    <xf numFmtId="0" fontId="22" fillId="0" borderId="1" xfId="0" applyNumberFormat="1" applyFont="1" applyBorder="1" applyAlignment="1">
      <alignment horizontal="center" vertical="center"/>
    </xf>
    <xf numFmtId="0" fontId="22" fillId="0" borderId="0" xfId="0" applyNumberFormat="1" applyFont="1" applyBorder="1" applyAlignment="1">
      <alignment horizontal="center" vertical="center"/>
    </xf>
    <xf numFmtId="0" fontId="22" fillId="0" borderId="5" xfId="0" applyNumberFormat="1" applyFont="1" applyBorder="1" applyAlignment="1">
      <alignment horizontal="center" vertical="center" wrapText="1"/>
    </xf>
    <xf numFmtId="0" fontId="22" fillId="0" borderId="1" xfId="0" applyNumberFormat="1" applyFont="1" applyBorder="1" applyAlignment="1">
      <alignment horizontal="center" vertical="center" wrapText="1"/>
    </xf>
    <xf numFmtId="41" fontId="22" fillId="0" borderId="8" xfId="0" applyNumberFormat="1" applyFont="1" applyBorder="1" applyAlignment="1">
      <alignment horizontal="right" vertical="center"/>
    </xf>
    <xf numFmtId="41" fontId="22" fillId="0" borderId="0" xfId="0" applyNumberFormat="1" applyFont="1" applyBorder="1" applyAlignment="1">
      <alignment horizontal="right" vertical="center"/>
    </xf>
    <xf numFmtId="41" fontId="22" fillId="0" borderId="9" xfId="0" applyNumberFormat="1" applyFont="1" applyBorder="1" applyAlignment="1">
      <alignment horizontal="right" vertical="center"/>
    </xf>
    <xf numFmtId="41" fontId="22" fillId="0" borderId="2" xfId="0" applyNumberFormat="1" applyFont="1" applyBorder="1" applyAlignment="1">
      <alignment horizontal="right" vertical="center"/>
    </xf>
    <xf numFmtId="0" fontId="22" fillId="0" borderId="23" xfId="0" applyNumberFormat="1" applyFont="1" applyBorder="1" applyAlignment="1">
      <alignment horizontal="center" vertical="center" wrapText="1"/>
    </xf>
    <xf numFmtId="0" fontId="22" fillId="0" borderId="3" xfId="0" applyNumberFormat="1" applyFont="1" applyBorder="1" applyAlignment="1">
      <alignment horizontal="center" vertical="center" wrapText="1"/>
    </xf>
    <xf numFmtId="0" fontId="22" fillId="0" borderId="15" xfId="0" applyNumberFormat="1" applyFont="1" applyBorder="1" applyAlignment="1">
      <alignment horizontal="center" vertical="center"/>
    </xf>
    <xf numFmtId="0" fontId="22" fillId="0" borderId="16" xfId="0" applyNumberFormat="1" applyFont="1" applyBorder="1" applyAlignment="1">
      <alignment horizontal="center" vertical="center"/>
    </xf>
    <xf numFmtId="0" fontId="22" fillId="0" borderId="25" xfId="0" applyNumberFormat="1" applyFont="1" applyBorder="1" applyAlignment="1">
      <alignment horizontal="center" vertical="center"/>
    </xf>
    <xf numFmtId="0" fontId="22" fillId="0" borderId="12" xfId="0" applyNumberFormat="1" applyFont="1" applyBorder="1" applyAlignment="1">
      <alignment horizontal="center" vertical="center" wrapText="1"/>
    </xf>
    <xf numFmtId="0" fontId="22" fillId="0" borderId="31" xfId="0" applyNumberFormat="1" applyFont="1" applyBorder="1" applyAlignment="1">
      <alignment horizontal="center" vertical="center"/>
    </xf>
    <xf numFmtId="0" fontId="22" fillId="0" borderId="11" xfId="0" applyNumberFormat="1" applyFont="1" applyBorder="1" applyAlignment="1">
      <alignment horizontal="center" vertical="center" wrapText="1"/>
    </xf>
    <xf numFmtId="0" fontId="22" fillId="0" borderId="10" xfId="0" applyNumberFormat="1" applyFont="1" applyBorder="1" applyAlignment="1">
      <alignment horizontal="center" vertical="center" wrapText="1"/>
    </xf>
    <xf numFmtId="0" fontId="22" fillId="0" borderId="2" xfId="0" applyNumberFormat="1" applyFont="1" applyBorder="1" applyAlignment="1">
      <alignment horizontal="center" vertical="center" wrapText="1"/>
    </xf>
    <xf numFmtId="0" fontId="22" fillId="0" borderId="6" xfId="0" applyNumberFormat="1" applyFont="1" applyBorder="1" applyAlignment="1">
      <alignment horizontal="center" vertical="center"/>
    </xf>
    <xf numFmtId="0" fontId="22" fillId="0" borderId="21" xfId="0" applyNumberFormat="1" applyFont="1" applyBorder="1" applyAlignment="1">
      <alignment horizontal="center" vertical="center"/>
    </xf>
    <xf numFmtId="0" fontId="22" fillId="0" borderId="14" xfId="0" applyNumberFormat="1" applyFont="1" applyBorder="1" applyAlignment="1">
      <alignment horizontal="center" vertical="center" wrapText="1"/>
    </xf>
    <xf numFmtId="0" fontId="31" fillId="0" borderId="0" xfId="0" applyNumberFormat="1" applyFont="1" applyAlignment="1">
      <alignment horizontal="center" vertical="center"/>
    </xf>
    <xf numFmtId="0" fontId="22" fillId="0" borderId="24" xfId="0" applyNumberFormat="1" applyFont="1" applyBorder="1" applyAlignment="1">
      <alignment horizontal="center" vertical="center"/>
    </xf>
    <xf numFmtId="0" fontId="22" fillId="0" borderId="8" xfId="0" applyNumberFormat="1" applyFont="1" applyBorder="1" applyAlignment="1">
      <alignment horizontal="center" vertical="center"/>
    </xf>
    <xf numFmtId="0" fontId="22" fillId="0" borderId="9" xfId="0" applyNumberFormat="1" applyFont="1" applyBorder="1" applyAlignment="1">
      <alignment horizontal="center" vertical="center" wrapText="1"/>
    </xf>
    <xf numFmtId="0" fontId="2" fillId="0" borderId="16" xfId="95" applyNumberFormat="1" applyFont="1" applyFill="1" applyBorder="1" applyAlignment="1">
      <alignment horizontal="center" vertical="center" wrapText="1"/>
    </xf>
    <xf numFmtId="0" fontId="2" fillId="0" borderId="25" xfId="95" applyNumberFormat="1" applyFont="1" applyFill="1" applyBorder="1" applyAlignment="1">
      <alignment horizontal="center" vertical="center" wrapText="1"/>
    </xf>
    <xf numFmtId="0" fontId="2" fillId="0" borderId="14" xfId="95" applyNumberFormat="1" applyFont="1" applyFill="1" applyBorder="1" applyAlignment="1">
      <alignment horizontal="center" vertical="center" wrapText="1"/>
    </xf>
    <xf numFmtId="0" fontId="2" fillId="0" borderId="1" xfId="95" applyNumberFormat="1" applyFont="1" applyFill="1" applyBorder="1" applyAlignment="1">
      <alignment horizontal="center" vertical="center" wrapText="1"/>
    </xf>
    <xf numFmtId="0" fontId="2" fillId="0" borderId="11" xfId="95" applyNumberFormat="1" applyFont="1" applyFill="1" applyBorder="1" applyAlignment="1">
      <alignment horizontal="center" vertical="center" wrapText="1"/>
    </xf>
    <xf numFmtId="0" fontId="2" fillId="0" borderId="10" xfId="95" applyNumberFormat="1" applyFont="1" applyFill="1" applyBorder="1" applyAlignment="1">
      <alignment horizontal="center" vertical="center" wrapText="1"/>
    </xf>
    <xf numFmtId="0" fontId="2" fillId="0" borderId="4" xfId="95" applyNumberFormat="1" applyFont="1" applyFill="1" applyBorder="1" applyAlignment="1">
      <alignment horizontal="center" vertical="center" wrapText="1"/>
    </xf>
    <xf numFmtId="0" fontId="2" fillId="0" borderId="20" xfId="95" applyNumberFormat="1" applyFont="1" applyFill="1" applyBorder="1" applyAlignment="1">
      <alignment horizontal="center" vertical="center" wrapText="1"/>
    </xf>
    <xf numFmtId="0" fontId="2" fillId="0" borderId="6" xfId="95" applyNumberFormat="1" applyFont="1" applyFill="1" applyBorder="1" applyAlignment="1">
      <alignment horizontal="center" vertical="center" wrapText="1"/>
    </xf>
    <xf numFmtId="0" fontId="2" fillId="0" borderId="5" xfId="95" applyNumberFormat="1" applyFont="1" applyFill="1" applyBorder="1" applyAlignment="1">
      <alignment horizontal="center" vertical="center" wrapText="1"/>
    </xf>
    <xf numFmtId="0" fontId="2" fillId="0" borderId="23" xfId="95" applyNumberFormat="1" applyFont="1" applyFill="1" applyBorder="1" applyAlignment="1">
      <alignment horizontal="center" vertical="center" wrapText="1"/>
    </xf>
    <xf numFmtId="0" fontId="2" fillId="0" borderId="3" xfId="95" applyNumberFormat="1" applyFont="1" applyFill="1" applyBorder="1" applyAlignment="1">
      <alignment horizontal="center" vertical="center" wrapText="1"/>
    </xf>
    <xf numFmtId="0" fontId="2" fillId="0" borderId="21" xfId="95" applyNumberFormat="1" applyFont="1" applyFill="1" applyBorder="1" applyAlignment="1">
      <alignment horizontal="center" vertical="center" wrapText="1"/>
    </xf>
    <xf numFmtId="0" fontId="2" fillId="0" borderId="34" xfId="95" applyNumberFormat="1" applyFont="1" applyFill="1" applyBorder="1" applyAlignment="1">
      <alignment horizontal="center" vertical="center" wrapText="1"/>
    </xf>
    <xf numFmtId="0" fontId="2" fillId="0" borderId="33" xfId="95" applyNumberFormat="1" applyFont="1" applyFill="1" applyBorder="1" applyAlignment="1">
      <alignment horizontal="center" vertical="center" wrapText="1"/>
    </xf>
    <xf numFmtId="0" fontId="2" fillId="0" borderId="32" xfId="95" applyNumberFormat="1" applyFont="1" applyFill="1" applyBorder="1" applyAlignment="1">
      <alignment horizontal="center" vertical="center" wrapText="1"/>
    </xf>
    <xf numFmtId="0" fontId="2" fillId="0" borderId="0" xfId="95" applyNumberFormat="1" applyFont="1" applyFill="1" applyBorder="1" applyAlignment="1">
      <alignment horizontal="center" vertical="center" wrapText="1"/>
    </xf>
    <xf numFmtId="0" fontId="2" fillId="0" borderId="12" xfId="95" applyNumberFormat="1" applyFont="1" applyFill="1" applyBorder="1" applyAlignment="1">
      <alignment horizontal="center" vertical="center" wrapText="1"/>
    </xf>
    <xf numFmtId="0" fontId="2" fillId="0" borderId="17" xfId="95" applyNumberFormat="1" applyFont="1" applyFill="1" applyBorder="1" applyAlignment="1">
      <alignment horizontal="center" vertical="center" wrapText="1"/>
    </xf>
    <xf numFmtId="0" fontId="2" fillId="0" borderId="35" xfId="95" applyNumberFormat="1" applyFont="1" applyFill="1" applyBorder="1" applyAlignment="1">
      <alignment horizontal="center" vertical="center" wrapText="1"/>
    </xf>
    <xf numFmtId="0" fontId="2" fillId="0" borderId="36" xfId="95" applyNumberFormat="1" applyFont="1" applyFill="1" applyBorder="1" applyAlignment="1">
      <alignment horizontal="center" vertical="center" wrapText="1"/>
    </xf>
    <xf numFmtId="0" fontId="2" fillId="0" borderId="37" xfId="95" applyNumberFormat="1" applyFont="1" applyFill="1" applyBorder="1" applyAlignment="1">
      <alignment horizontal="center" vertical="center" wrapText="1"/>
    </xf>
    <xf numFmtId="0" fontId="2" fillId="0" borderId="28" xfId="95" applyNumberFormat="1" applyFont="1" applyFill="1" applyBorder="1" applyAlignment="1">
      <alignment horizontal="center" vertical="center" wrapText="1"/>
    </xf>
    <xf numFmtId="0" fontId="2" fillId="0" borderId="22" xfId="95" applyNumberFormat="1" applyFont="1" applyFill="1" applyBorder="1" applyAlignment="1">
      <alignment horizontal="center" vertical="center" wrapText="1"/>
    </xf>
    <xf numFmtId="41" fontId="2" fillId="0" borderId="0" xfId="0" applyNumberFormat="1" applyFont="1" applyFill="1" applyBorder="1" applyAlignment="1">
      <alignment horizontal="right" vertical="center"/>
    </xf>
    <xf numFmtId="0" fontId="2" fillId="0" borderId="7" xfId="95" applyNumberFormat="1" applyFont="1" applyFill="1" applyBorder="1" applyAlignment="1">
      <alignment horizontal="center" vertical="center" wrapText="1"/>
    </xf>
    <xf numFmtId="41" fontId="2" fillId="0" borderId="0" xfId="97" applyNumberFormat="1" applyFont="1" applyFill="1" applyBorder="1" applyAlignment="1">
      <alignment horizontal="right" vertical="center"/>
    </xf>
    <xf numFmtId="41" fontId="2" fillId="0" borderId="2" xfId="112" applyNumberFormat="1" applyFont="1" applyFill="1" applyBorder="1" applyAlignment="1" applyProtection="1">
      <alignment horizontal="right" vertical="center"/>
    </xf>
    <xf numFmtId="41" fontId="2" fillId="0" borderId="13" xfId="0" applyNumberFormat="1" applyFont="1" applyFill="1" applyBorder="1" applyAlignment="1">
      <alignment horizontal="right" vertical="center"/>
    </xf>
    <xf numFmtId="3" fontId="2" fillId="0" borderId="35" xfId="0" applyNumberFormat="1" applyFont="1" applyFill="1" applyBorder="1" applyAlignment="1">
      <alignment horizontal="center" vertical="center" wrapText="1"/>
    </xf>
    <xf numFmtId="3" fontId="2" fillId="0" borderId="36" xfId="0" applyNumberFormat="1" applyFont="1" applyFill="1" applyBorder="1" applyAlignment="1">
      <alignment horizontal="center" vertical="center"/>
    </xf>
    <xf numFmtId="3" fontId="2" fillId="0" borderId="37" xfId="0" applyNumberFormat="1" applyFont="1" applyFill="1" applyBorder="1" applyAlignment="1">
      <alignment horizontal="center" vertical="center"/>
    </xf>
    <xf numFmtId="3" fontId="2" fillId="0" borderId="25" xfId="0" applyNumberFormat="1" applyFont="1" applyFill="1" applyBorder="1" applyAlignment="1">
      <alignment horizontal="center" vertical="center" wrapText="1"/>
    </xf>
    <xf numFmtId="3" fontId="2" fillId="0" borderId="17" xfId="0" applyNumberFormat="1" applyFont="1" applyFill="1" applyBorder="1" applyAlignment="1">
      <alignment horizontal="center" vertical="center"/>
    </xf>
    <xf numFmtId="3" fontId="2" fillId="0" borderId="34" xfId="0" applyNumberFormat="1" applyFont="1" applyFill="1" applyBorder="1" applyAlignment="1">
      <alignment horizontal="center" vertical="center"/>
    </xf>
    <xf numFmtId="3" fontId="2" fillId="0" borderId="33" xfId="0" applyNumberFormat="1" applyFont="1" applyFill="1" applyBorder="1" applyAlignment="1">
      <alignment horizontal="center" vertical="center"/>
    </xf>
    <xf numFmtId="3" fontId="2" fillId="0" borderId="20" xfId="0" applyNumberFormat="1" applyFont="1" applyFill="1" applyBorder="1" applyAlignment="1">
      <alignment horizontal="center" vertical="center" wrapText="1"/>
    </xf>
    <xf numFmtId="3" fontId="2" fillId="0" borderId="7" xfId="0" applyNumberFormat="1" applyFont="1" applyFill="1" applyBorder="1" applyAlignment="1">
      <alignment horizontal="center" vertical="center"/>
    </xf>
    <xf numFmtId="3" fontId="2" fillId="0" borderId="34" xfId="0" applyNumberFormat="1" applyFont="1" applyFill="1" applyBorder="1" applyAlignment="1">
      <alignment horizontal="center" vertical="center" wrapText="1"/>
    </xf>
    <xf numFmtId="3" fontId="2" fillId="0" borderId="33" xfId="0" applyNumberFormat="1" applyFont="1" applyFill="1" applyBorder="1" applyAlignment="1">
      <alignment horizontal="center" vertical="center" wrapText="1"/>
    </xf>
    <xf numFmtId="41" fontId="2" fillId="0" borderId="2" xfId="0" applyNumberFormat="1" applyFont="1" applyFill="1" applyBorder="1" applyAlignment="1">
      <alignment horizontal="right" vertical="center"/>
    </xf>
    <xf numFmtId="41" fontId="2" fillId="0" borderId="2" xfId="97" applyNumberFormat="1" applyFont="1" applyFill="1" applyBorder="1" applyAlignment="1">
      <alignment horizontal="right" vertical="center"/>
    </xf>
    <xf numFmtId="0" fontId="10" fillId="0" borderId="34" xfId="95" applyNumberFormat="1" applyFont="1" applyFill="1" applyBorder="1" applyAlignment="1">
      <alignment horizontal="center" vertical="center" wrapText="1"/>
    </xf>
    <xf numFmtId="0" fontId="10" fillId="0" borderId="33" xfId="95" applyNumberFormat="1" applyFont="1" applyFill="1" applyBorder="1" applyAlignment="1">
      <alignment horizontal="center" vertical="center" wrapText="1"/>
    </xf>
    <xf numFmtId="41" fontId="2" fillId="0" borderId="2" xfId="112" applyNumberFormat="1" applyFont="1" applyFill="1" applyBorder="1" applyAlignment="1" applyProtection="1">
      <alignment horizontal="right" vertical="center" wrapText="1"/>
    </xf>
    <xf numFmtId="0" fontId="31" fillId="0" borderId="0" xfId="0" applyNumberFormat="1" applyFont="1" applyFill="1" applyAlignment="1">
      <alignment horizontal="center" vertical="center"/>
    </xf>
    <xf numFmtId="0" fontId="2" fillId="0" borderId="2" xfId="95" applyNumberFormat="1" applyFont="1" applyFill="1" applyBorder="1" applyAlignment="1">
      <alignment horizontal="center" vertical="center" wrapText="1"/>
    </xf>
    <xf numFmtId="0" fontId="22" fillId="0" borderId="21" xfId="95" applyNumberFormat="1" applyFont="1" applyFill="1" applyBorder="1" applyAlignment="1">
      <alignment horizontal="center" vertical="center" wrapText="1"/>
    </xf>
    <xf numFmtId="0" fontId="22" fillId="0" borderId="5" xfId="95" applyNumberFormat="1" applyFont="1" applyFill="1" applyBorder="1" applyAlignment="1">
      <alignment horizontal="center" vertical="center" wrapText="1"/>
    </xf>
    <xf numFmtId="0" fontId="22" fillId="0" borderId="32" xfId="112" applyNumberFormat="1" applyFont="1" applyFill="1" applyBorder="1" applyAlignment="1" applyProtection="1">
      <alignment horizontal="center" vertical="center" wrapText="1"/>
    </xf>
    <xf numFmtId="0" fontId="22" fillId="0" borderId="33" xfId="112" applyNumberFormat="1" applyFont="1" applyFill="1" applyBorder="1" applyAlignment="1" applyProtection="1">
      <alignment horizontal="center" vertical="center" wrapText="1"/>
    </xf>
    <xf numFmtId="0" fontId="22" fillId="0" borderId="6" xfId="112" applyNumberFormat="1" applyFont="1" applyFill="1" applyBorder="1" applyAlignment="1" applyProtection="1">
      <alignment horizontal="center" vertical="center" wrapText="1"/>
    </xf>
    <xf numFmtId="0" fontId="22" fillId="0" borderId="21" xfId="112" applyNumberFormat="1" applyFont="1" applyFill="1" applyBorder="1" applyAlignment="1" applyProtection="1">
      <alignment horizontal="center" vertical="center" wrapText="1"/>
    </xf>
    <xf numFmtId="0" fontId="22" fillId="0" borderId="34" xfId="112" applyNumberFormat="1" applyFont="1" applyFill="1" applyBorder="1" applyAlignment="1" applyProtection="1">
      <alignment horizontal="center" vertical="center" wrapText="1"/>
    </xf>
    <xf numFmtId="0" fontId="22" fillId="0" borderId="3" xfId="97" applyNumberFormat="1" applyFont="1" applyFill="1" applyBorder="1" applyAlignment="1">
      <alignment horizontal="center" vertical="center" wrapText="1" justifyLastLine="1"/>
    </xf>
    <xf numFmtId="0" fontId="22" fillId="0" borderId="12" xfId="97" applyNumberFormat="1" applyFont="1" applyFill="1" applyBorder="1" applyAlignment="1">
      <alignment horizontal="center" vertical="center" wrapText="1" justifyLastLine="1"/>
    </xf>
    <xf numFmtId="0" fontId="22" fillId="0" borderId="25" xfId="112" applyNumberFormat="1" applyFont="1" applyFill="1" applyBorder="1" applyAlignment="1" applyProtection="1">
      <alignment horizontal="center" vertical="center" wrapText="1"/>
    </xf>
    <xf numFmtId="0" fontId="22" fillId="0" borderId="17" xfId="112" applyNumberFormat="1" applyFont="1" applyFill="1" applyBorder="1" applyAlignment="1" applyProtection="1">
      <alignment horizontal="center" vertical="center" wrapText="1"/>
    </xf>
    <xf numFmtId="0" fontId="22" fillId="0" borderId="20" xfId="112" applyNumberFormat="1" applyFont="1" applyFill="1" applyBorder="1" applyAlignment="1" applyProtection="1">
      <alignment horizontal="center" vertical="center" wrapText="1"/>
    </xf>
    <xf numFmtId="0" fontId="22" fillId="0" borderId="7" xfId="112" applyNumberFormat="1" applyFont="1" applyFill="1" applyBorder="1" applyAlignment="1" applyProtection="1">
      <alignment horizontal="center" vertical="center" wrapText="1"/>
    </xf>
    <xf numFmtId="0" fontId="33" fillId="0" borderId="20" xfId="112" applyNumberFormat="1" applyFont="1" applyFill="1" applyBorder="1" applyAlignment="1" applyProtection="1">
      <alignment horizontal="center" vertical="center" wrapText="1"/>
    </xf>
    <xf numFmtId="0" fontId="33" fillId="0" borderId="7" xfId="112" applyNumberFormat="1" applyFont="1" applyFill="1" applyBorder="1" applyAlignment="1" applyProtection="1">
      <alignment horizontal="center" vertical="center" wrapText="1"/>
    </xf>
    <xf numFmtId="0" fontId="33" fillId="0" borderId="21" xfId="112" applyNumberFormat="1" applyFont="1" applyFill="1" applyBorder="1" applyAlignment="1" applyProtection="1">
      <alignment horizontal="center" vertical="center" wrapText="1"/>
    </xf>
    <xf numFmtId="0" fontId="33" fillId="0" borderId="5" xfId="112" applyNumberFormat="1" applyFont="1" applyFill="1" applyBorder="1" applyAlignment="1" applyProtection="1">
      <alignment horizontal="center" vertical="center" wrapText="1"/>
    </xf>
    <xf numFmtId="0" fontId="22" fillId="0" borderId="5" xfId="112" applyNumberFormat="1" applyFont="1" applyFill="1" applyBorder="1" applyAlignment="1" applyProtection="1">
      <alignment horizontal="center" vertical="center" wrapText="1"/>
    </xf>
    <xf numFmtId="0" fontId="22" fillId="0" borderId="11" xfId="112" applyNumberFormat="1" applyFont="1" applyFill="1" applyBorder="1" applyAlignment="1" applyProtection="1">
      <alignment horizontal="center" vertical="center" wrapText="1"/>
    </xf>
    <xf numFmtId="0" fontId="22" fillId="0" borderId="10" xfId="112" applyNumberFormat="1" applyFont="1" applyFill="1" applyBorder="1" applyAlignment="1" applyProtection="1">
      <alignment horizontal="center" vertical="center" wrapText="1"/>
    </xf>
    <xf numFmtId="0" fontId="22" fillId="0" borderId="23" xfId="97" applyNumberFormat="1" applyFont="1" applyFill="1" applyBorder="1" applyAlignment="1">
      <alignment horizontal="center" vertical="center" wrapText="1" justifyLastLine="1"/>
    </xf>
    <xf numFmtId="0" fontId="22" fillId="0" borderId="35" xfId="112" applyNumberFormat="1" applyFont="1" applyFill="1" applyBorder="1" applyAlignment="1" applyProtection="1">
      <alignment horizontal="center" vertical="center"/>
    </xf>
    <xf numFmtId="0" fontId="22" fillId="0" borderId="36" xfId="112" applyNumberFormat="1" applyFont="1" applyFill="1" applyBorder="1" applyAlignment="1" applyProtection="1">
      <alignment horizontal="center" vertical="center"/>
    </xf>
    <xf numFmtId="0" fontId="22" fillId="0" borderId="16" xfId="112" applyNumberFormat="1" applyFont="1" applyFill="1" applyBorder="1" applyAlignment="1" applyProtection="1">
      <alignment horizontal="center" vertical="center" wrapText="1"/>
    </xf>
    <xf numFmtId="0" fontId="22" fillId="0" borderId="4" xfId="112" applyNumberFormat="1" applyFont="1" applyFill="1" applyBorder="1" applyAlignment="1" applyProtection="1">
      <alignment horizontal="center" vertical="center" wrapText="1"/>
    </xf>
    <xf numFmtId="0" fontId="33" fillId="0" borderId="20" xfId="95" applyNumberFormat="1" applyFont="1" applyFill="1" applyBorder="1" applyAlignment="1">
      <alignment horizontal="center" vertical="center" wrapText="1"/>
    </xf>
    <xf numFmtId="0" fontId="33" fillId="0" borderId="7" xfId="95" applyNumberFormat="1" applyFont="1" applyFill="1" applyBorder="1" applyAlignment="1">
      <alignment horizontal="center" vertical="center" wrapText="1"/>
    </xf>
    <xf numFmtId="0" fontId="22" fillId="0" borderId="23" xfId="95" applyNumberFormat="1" applyFont="1" applyFill="1" applyBorder="1" applyAlignment="1">
      <alignment horizontal="center" vertical="center" wrapText="1"/>
    </xf>
    <xf numFmtId="0" fontId="22" fillId="0" borderId="3" xfId="95" applyNumberFormat="1" applyFont="1" applyFill="1" applyBorder="1" applyAlignment="1">
      <alignment horizontal="center" vertical="center" wrapText="1"/>
    </xf>
    <xf numFmtId="0" fontId="22" fillId="0" borderId="15" xfId="95" applyNumberFormat="1" applyFont="1" applyFill="1" applyBorder="1" applyAlignment="1">
      <alignment horizontal="center" vertical="center"/>
    </xf>
    <xf numFmtId="0" fontId="22" fillId="0" borderId="13" xfId="95" applyNumberFormat="1" applyFont="1" applyFill="1" applyBorder="1" applyAlignment="1">
      <alignment horizontal="center" vertical="center"/>
    </xf>
    <xf numFmtId="0" fontId="22" fillId="0" borderId="4" xfId="95" applyNumberFormat="1" applyFont="1" applyFill="1" applyBorder="1" applyAlignment="1">
      <alignment horizontal="center" vertical="center" wrapText="1"/>
    </xf>
    <xf numFmtId="0" fontId="22" fillId="0" borderId="20" xfId="95" applyNumberFormat="1" applyFont="1" applyFill="1" applyBorder="1" applyAlignment="1">
      <alignment horizontal="center" vertical="center" wrapText="1"/>
    </xf>
    <xf numFmtId="0" fontId="22" fillId="0" borderId="6" xfId="95" applyNumberFormat="1" applyFont="1" applyFill="1" applyBorder="1" applyAlignment="1">
      <alignment horizontal="center" vertical="center" wrapText="1"/>
    </xf>
    <xf numFmtId="0" fontId="22" fillId="0" borderId="12" xfId="95" applyNumberFormat="1" applyFont="1" applyFill="1" applyBorder="1" applyAlignment="1">
      <alignment horizontal="center" vertical="center" wrapText="1"/>
    </xf>
    <xf numFmtId="0" fontId="22" fillId="0" borderId="34" xfId="95" applyNumberFormat="1" applyFont="1" applyFill="1" applyBorder="1" applyAlignment="1">
      <alignment horizontal="center" vertical="center" wrapText="1"/>
    </xf>
    <xf numFmtId="0" fontId="22" fillId="0" borderId="33" xfId="95" applyNumberFormat="1" applyFont="1" applyFill="1" applyBorder="1" applyAlignment="1">
      <alignment horizontal="center" vertical="center" wrapText="1"/>
    </xf>
    <xf numFmtId="0" fontId="22" fillId="0" borderId="32" xfId="95" applyNumberFormat="1" applyFont="1" applyFill="1" applyBorder="1" applyAlignment="1">
      <alignment horizontal="center" vertical="center" wrapText="1"/>
    </xf>
    <xf numFmtId="0" fontId="22" fillId="0" borderId="7" xfId="95" applyNumberFormat="1" applyFont="1" applyFill="1" applyBorder="1" applyAlignment="1">
      <alignment horizontal="center" vertical="center" wrapText="1"/>
    </xf>
    <xf numFmtId="0" fontId="22" fillId="0" borderId="0" xfId="112" applyNumberFormat="1" applyFont="1" applyFill="1" applyBorder="1" applyAlignment="1" applyProtection="1">
      <alignment horizontal="center" vertical="center" wrapText="1"/>
    </xf>
    <xf numFmtId="0" fontId="22" fillId="0" borderId="6" xfId="95" applyNumberFormat="1" applyFont="1" applyFill="1" applyBorder="1" applyAlignment="1">
      <alignment horizontal="center" vertical="center"/>
    </xf>
    <xf numFmtId="0" fontId="22" fillId="0" borderId="21" xfId="95" applyNumberFormat="1" applyFont="1" applyFill="1" applyBorder="1" applyAlignment="1">
      <alignment horizontal="center" vertical="center"/>
    </xf>
    <xf numFmtId="0" fontId="22" fillId="0" borderId="34" xfId="95" applyNumberFormat="1" applyFont="1" applyFill="1" applyBorder="1" applyAlignment="1">
      <alignment horizontal="center" vertical="center"/>
    </xf>
    <xf numFmtId="0" fontId="22" fillId="0" borderId="32" xfId="95" applyNumberFormat="1" applyFont="1" applyFill="1" applyBorder="1" applyAlignment="1">
      <alignment horizontal="center" vertical="center"/>
    </xf>
    <xf numFmtId="41" fontId="22" fillId="0" borderId="0" xfId="0" applyNumberFormat="1" applyFont="1" applyFill="1" applyAlignment="1">
      <alignment horizontal="right" vertical="center"/>
    </xf>
    <xf numFmtId="0" fontId="22" fillId="0" borderId="11" xfId="95" applyNumberFormat="1" applyFont="1" applyFill="1" applyBorder="1" applyAlignment="1">
      <alignment horizontal="center" vertical="center" wrapText="1"/>
    </xf>
    <xf numFmtId="0" fontId="22" fillId="0" borderId="10" xfId="95" applyNumberFormat="1" applyFont="1" applyFill="1" applyBorder="1" applyAlignment="1">
      <alignment horizontal="center" vertical="center" wrapText="1"/>
    </xf>
    <xf numFmtId="0" fontId="22" fillId="0" borderId="2" xfId="95" applyNumberFormat="1" applyFont="1" applyFill="1" applyBorder="1" applyAlignment="1">
      <alignment horizontal="center" vertical="center" wrapText="1"/>
    </xf>
    <xf numFmtId="41" fontId="22" fillId="0" borderId="0" xfId="0" applyNumberFormat="1" applyFont="1" applyFill="1" applyBorder="1" applyAlignment="1">
      <alignment horizontal="right" vertical="center"/>
    </xf>
    <xf numFmtId="41" fontId="22" fillId="0" borderId="2" xfId="112" applyNumberFormat="1" applyFont="1" applyFill="1" applyBorder="1" applyAlignment="1" applyProtection="1">
      <alignment horizontal="right" vertical="center"/>
    </xf>
    <xf numFmtId="41" fontId="22" fillId="0" borderId="13" xfId="112" applyNumberFormat="1" applyFont="1" applyFill="1" applyBorder="1" applyAlignment="1" applyProtection="1">
      <alignment horizontal="right" vertical="center"/>
    </xf>
    <xf numFmtId="41" fontId="22" fillId="0" borderId="2" xfId="0" applyNumberFormat="1" applyFont="1" applyFill="1" applyBorder="1" applyAlignment="1">
      <alignment horizontal="right" vertical="center"/>
    </xf>
    <xf numFmtId="41" fontId="22" fillId="0" borderId="13" xfId="0" applyNumberFormat="1" applyFont="1" applyFill="1" applyBorder="1" applyAlignment="1">
      <alignment horizontal="right" vertical="center"/>
    </xf>
    <xf numFmtId="41" fontId="22" fillId="0" borderId="0" xfId="95" applyNumberFormat="1" applyFont="1" applyFill="1" applyBorder="1" applyAlignment="1">
      <alignment horizontal="right" vertical="center"/>
    </xf>
    <xf numFmtId="0" fontId="22" fillId="0" borderId="2" xfId="112" applyNumberFormat="1" applyFont="1" applyFill="1" applyBorder="1" applyAlignment="1" applyProtection="1">
      <alignment horizontal="center" vertical="center" wrapText="1"/>
    </xf>
    <xf numFmtId="0" fontId="22" fillId="0" borderId="3" xfId="95" applyNumberFormat="1" applyFont="1" applyBorder="1" applyAlignment="1">
      <alignment horizontal="center" vertical="center" wrapText="1"/>
    </xf>
    <xf numFmtId="0" fontId="22" fillId="0" borderId="12" xfId="95" applyNumberFormat="1" applyFont="1" applyBorder="1" applyAlignment="1">
      <alignment horizontal="center" vertical="center" wrapText="1"/>
    </xf>
    <xf numFmtId="0" fontId="31" fillId="0" borderId="0" xfId="0" applyNumberFormat="1" applyFont="1" applyAlignment="1">
      <alignment horizontal="center" vertical="center" wrapText="1"/>
    </xf>
    <xf numFmtId="0" fontId="22" fillId="0" borderId="0" xfId="0" applyNumberFormat="1" applyFont="1" applyAlignment="1">
      <alignment horizontal="center" vertical="center"/>
    </xf>
    <xf numFmtId="0" fontId="22" fillId="0" borderId="23" xfId="95" applyNumberFormat="1" applyFont="1" applyBorder="1" applyAlignment="1">
      <alignment horizontal="center" vertical="center" wrapText="1"/>
    </xf>
    <xf numFmtId="0" fontId="22" fillId="0" borderId="15" xfId="95" applyNumberFormat="1" applyFont="1" applyBorder="1" applyAlignment="1">
      <alignment horizontal="center" vertical="center" wrapText="1"/>
    </xf>
    <xf numFmtId="0" fontId="22" fillId="0" borderId="13" xfId="95" applyNumberFormat="1" applyFont="1" applyBorder="1" applyAlignment="1">
      <alignment horizontal="center" vertical="center" wrapText="1"/>
    </xf>
    <xf numFmtId="0" fontId="22" fillId="0" borderId="27" xfId="95" applyNumberFormat="1" applyFont="1" applyBorder="1" applyAlignment="1">
      <alignment horizontal="center" vertical="center" wrapText="1"/>
    </xf>
    <xf numFmtId="0" fontId="22" fillId="0" borderId="26" xfId="95" applyNumberFormat="1" applyFont="1" applyBorder="1" applyAlignment="1">
      <alignment horizontal="center" vertical="center" wrapText="1"/>
    </xf>
    <xf numFmtId="0" fontId="22" fillId="0" borderId="8" xfId="95" applyNumberFormat="1" applyFont="1" applyBorder="1" applyAlignment="1">
      <alignment horizontal="center" vertical="center" wrapText="1"/>
    </xf>
    <xf numFmtId="0" fontId="22" fillId="0" borderId="0" xfId="95" applyNumberFormat="1" applyFont="1" applyBorder="1" applyAlignment="1">
      <alignment horizontal="center" vertical="center" wrapText="1"/>
    </xf>
    <xf numFmtId="0" fontId="22" fillId="0" borderId="14" xfId="95" applyNumberFormat="1" applyFont="1" applyBorder="1" applyAlignment="1">
      <alignment horizontal="center" vertical="center" wrapText="1"/>
    </xf>
    <xf numFmtId="0" fontId="22" fillId="0" borderId="1" xfId="95" applyNumberFormat="1" applyFont="1" applyBorder="1" applyAlignment="1">
      <alignment horizontal="center" vertical="center" wrapText="1"/>
    </xf>
    <xf numFmtId="0" fontId="22" fillId="0" borderId="0" xfId="97" applyNumberFormat="1" applyFont="1" applyFill="1" applyAlignment="1">
      <alignment horizontal="left" vertical="center" wrapText="1"/>
    </xf>
    <xf numFmtId="0" fontId="22" fillId="0" borderId="36" xfId="97" applyNumberFormat="1" applyFont="1" applyFill="1" applyBorder="1" applyAlignment="1">
      <alignment horizontal="left" vertical="center"/>
    </xf>
    <xf numFmtId="0" fontId="22" fillId="0" borderId="37" xfId="97" applyNumberFormat="1" applyFont="1" applyFill="1" applyBorder="1" applyAlignment="1">
      <alignment horizontal="left" vertical="center"/>
    </xf>
    <xf numFmtId="0" fontId="22" fillId="0" borderId="26" xfId="0" applyNumberFormat="1" applyFont="1" applyFill="1" applyBorder="1" applyAlignment="1">
      <alignment horizontal="center" vertical="center"/>
    </xf>
    <xf numFmtId="185" fontId="22" fillId="0" borderId="0" xfId="97" applyNumberFormat="1" applyFont="1" applyFill="1" applyBorder="1" applyAlignment="1">
      <alignment horizontal="center"/>
    </xf>
    <xf numFmtId="185" fontId="22" fillId="0" borderId="0" xfId="0" applyNumberFormat="1" applyFont="1" applyFill="1" applyBorder="1" applyAlignment="1">
      <alignment horizontal="center"/>
    </xf>
    <xf numFmtId="0" fontId="31" fillId="0" borderId="0" xfId="97" applyFont="1" applyAlignment="1">
      <alignment horizontal="center" vertical="center"/>
    </xf>
    <xf numFmtId="0" fontId="22" fillId="0" borderId="23" xfId="97" applyFont="1" applyBorder="1" applyAlignment="1">
      <alignment horizontal="center" vertical="center"/>
    </xf>
    <xf numFmtId="0" fontId="22" fillId="0" borderId="3" xfId="97" applyFont="1" applyBorder="1" applyAlignment="1">
      <alignment horizontal="center" vertical="center"/>
    </xf>
    <xf numFmtId="0" fontId="22" fillId="0" borderId="38" xfId="0" applyFont="1" applyBorder="1" applyAlignment="1">
      <alignment horizontal="center" vertical="center" wrapText="1"/>
    </xf>
    <xf numFmtId="0" fontId="22" fillId="0" borderId="25" xfId="0" applyFont="1" applyBorder="1" applyAlignment="1">
      <alignment horizontal="center" vertical="center"/>
    </xf>
    <xf numFmtId="0" fontId="22" fillId="0" borderId="28" xfId="0" applyFont="1" applyBorder="1" applyAlignment="1">
      <alignment horizontal="center" vertical="center"/>
    </xf>
    <xf numFmtId="0" fontId="22" fillId="0" borderId="36" xfId="0" applyFont="1" applyBorder="1" applyAlignment="1">
      <alignment horizontal="center" vertical="center"/>
    </xf>
    <xf numFmtId="0" fontId="22" fillId="0" borderId="21" xfId="0" applyFont="1" applyBorder="1" applyAlignment="1">
      <alignment horizontal="center" vertical="center"/>
    </xf>
    <xf numFmtId="0" fontId="22" fillId="0" borderId="5" xfId="0" applyFont="1" applyBorder="1" applyAlignment="1">
      <alignment horizontal="center" vertical="center"/>
    </xf>
    <xf numFmtId="0" fontId="22" fillId="0" borderId="6" xfId="0" applyFont="1" applyBorder="1" applyAlignment="1">
      <alignment horizontal="center" vertical="center"/>
    </xf>
    <xf numFmtId="0" fontId="22" fillId="0" borderId="34" xfId="0" applyFont="1" applyBorder="1" applyAlignment="1">
      <alignment horizontal="center" vertical="center"/>
    </xf>
    <xf numFmtId="0" fontId="22" fillId="0" borderId="32" xfId="0" applyFont="1" applyBorder="1" applyAlignment="1">
      <alignment horizontal="center" vertical="center"/>
    </xf>
    <xf numFmtId="0" fontId="22" fillId="0" borderId="3" xfId="97" applyFont="1" applyBorder="1" applyAlignment="1">
      <alignment horizontal="center" vertical="center" wrapText="1"/>
    </xf>
    <xf numFmtId="0" fontId="22" fillId="0" borderId="12" xfId="97" applyFont="1" applyBorder="1" applyAlignment="1">
      <alignment horizontal="center" vertical="center" wrapText="1"/>
    </xf>
    <xf numFmtId="0" fontId="22" fillId="0" borderId="25" xfId="0" applyFont="1" applyBorder="1" applyAlignment="1">
      <alignment horizontal="center" vertical="center" wrapText="1"/>
    </xf>
    <xf numFmtId="0" fontId="22" fillId="0" borderId="17" xfId="0" applyFont="1" applyBorder="1" applyAlignment="1">
      <alignment horizontal="center" vertical="center"/>
    </xf>
    <xf numFmtId="0" fontId="22" fillId="0" borderId="33" xfId="0" applyFont="1" applyBorder="1" applyAlignment="1">
      <alignment horizontal="center" vertical="center"/>
    </xf>
    <xf numFmtId="0" fontId="22" fillId="0" borderId="35" xfId="0" applyNumberFormat="1" applyFont="1" applyBorder="1" applyAlignment="1">
      <alignment horizontal="center" vertical="center"/>
    </xf>
    <xf numFmtId="0" fontId="22" fillId="0" borderId="36" xfId="0" applyNumberFormat="1" applyFont="1" applyBorder="1" applyAlignment="1">
      <alignment horizontal="center" vertical="center"/>
    </xf>
    <xf numFmtId="0" fontId="22" fillId="0" borderId="7" xfId="0" applyNumberFormat="1" applyFont="1" applyBorder="1" applyAlignment="1">
      <alignment horizontal="center" vertical="center" wrapText="1"/>
    </xf>
    <xf numFmtId="0" fontId="22" fillId="0" borderId="35" xfId="97" applyNumberFormat="1" applyFont="1" applyBorder="1" applyAlignment="1">
      <alignment horizontal="center" vertical="center"/>
    </xf>
    <xf numFmtId="0" fontId="22" fillId="0" borderId="44" xfId="97" applyNumberFormat="1" applyFont="1" applyBorder="1" applyAlignment="1">
      <alignment horizontal="center" vertical="center"/>
    </xf>
    <xf numFmtId="0" fontId="22" fillId="0" borderId="19" xfId="97" applyNumberFormat="1" applyFont="1" applyBorder="1" applyAlignment="1">
      <alignment horizontal="center" vertical="center"/>
    </xf>
    <xf numFmtId="0" fontId="22" fillId="0" borderId="43" xfId="97" applyNumberFormat="1" applyFont="1" applyBorder="1" applyAlignment="1">
      <alignment horizontal="center" vertical="center"/>
    </xf>
    <xf numFmtId="0" fontId="22" fillId="0" borderId="31" xfId="97" applyNumberFormat="1" applyFont="1" applyBorder="1" applyAlignment="1">
      <alignment horizontal="center" vertical="center"/>
    </xf>
    <xf numFmtId="0" fontId="84" fillId="0" borderId="3" xfId="0" applyNumberFormat="1" applyFont="1" applyBorder="1" applyAlignment="1">
      <alignment horizontal="center" vertical="center" wrapText="1"/>
    </xf>
  </cellXfs>
  <cellStyles count="222">
    <cellStyle name="?" xfId="210" xr:uid="{00000000-0005-0000-0000-000000000000}"/>
    <cellStyle name="?_家庭暴力事件通報案件統計1030418公式" xfId="211" xr:uid="{00000000-0005-0000-0000-000001000000}"/>
    <cellStyle name="20% - 輔色1 2" xfId="1" xr:uid="{00000000-0005-0000-0000-000002000000}"/>
    <cellStyle name="20% - 輔色1 3" xfId="2" xr:uid="{00000000-0005-0000-0000-000003000000}"/>
    <cellStyle name="20% - 輔色1 4" xfId="3" xr:uid="{00000000-0005-0000-0000-000004000000}"/>
    <cellStyle name="20% - 輔色1 5" xfId="4" xr:uid="{00000000-0005-0000-0000-000005000000}"/>
    <cellStyle name="20% - 輔色2 2" xfId="5" xr:uid="{00000000-0005-0000-0000-000006000000}"/>
    <cellStyle name="20% - 輔色2 3" xfId="6" xr:uid="{00000000-0005-0000-0000-000007000000}"/>
    <cellStyle name="20% - 輔色2 4" xfId="7" xr:uid="{00000000-0005-0000-0000-000008000000}"/>
    <cellStyle name="20% - 輔色2 5" xfId="8" xr:uid="{00000000-0005-0000-0000-000009000000}"/>
    <cellStyle name="20% - 輔色3 2" xfId="9" xr:uid="{00000000-0005-0000-0000-00000A000000}"/>
    <cellStyle name="20% - 輔色3 3" xfId="10" xr:uid="{00000000-0005-0000-0000-00000B000000}"/>
    <cellStyle name="20% - 輔色3 4" xfId="11" xr:uid="{00000000-0005-0000-0000-00000C000000}"/>
    <cellStyle name="20% - 輔色3 5" xfId="12" xr:uid="{00000000-0005-0000-0000-00000D000000}"/>
    <cellStyle name="20% - 輔色4 2" xfId="13" xr:uid="{00000000-0005-0000-0000-00000E000000}"/>
    <cellStyle name="20% - 輔色4 3" xfId="14" xr:uid="{00000000-0005-0000-0000-00000F000000}"/>
    <cellStyle name="20% - 輔色4 4" xfId="15" xr:uid="{00000000-0005-0000-0000-000010000000}"/>
    <cellStyle name="20% - 輔色4 5" xfId="16" xr:uid="{00000000-0005-0000-0000-000011000000}"/>
    <cellStyle name="20% - 輔色5 2" xfId="17" xr:uid="{00000000-0005-0000-0000-000012000000}"/>
    <cellStyle name="20% - 輔色5 3" xfId="18" xr:uid="{00000000-0005-0000-0000-000013000000}"/>
    <cellStyle name="20% - 輔色5 4" xfId="19" xr:uid="{00000000-0005-0000-0000-000014000000}"/>
    <cellStyle name="20% - 輔色5 5" xfId="20" xr:uid="{00000000-0005-0000-0000-000015000000}"/>
    <cellStyle name="20% - 輔色6 2" xfId="21" xr:uid="{00000000-0005-0000-0000-000016000000}"/>
    <cellStyle name="20% - 輔色6 3" xfId="22" xr:uid="{00000000-0005-0000-0000-000017000000}"/>
    <cellStyle name="20% - 輔色6 4" xfId="23" xr:uid="{00000000-0005-0000-0000-000018000000}"/>
    <cellStyle name="20% - 輔色6 5" xfId="24" xr:uid="{00000000-0005-0000-0000-000019000000}"/>
    <cellStyle name="40% - 輔色1 2" xfId="25" xr:uid="{00000000-0005-0000-0000-00001A000000}"/>
    <cellStyle name="40% - 輔色1 3" xfId="26" xr:uid="{00000000-0005-0000-0000-00001B000000}"/>
    <cellStyle name="40% - 輔色1 4" xfId="27" xr:uid="{00000000-0005-0000-0000-00001C000000}"/>
    <cellStyle name="40% - 輔色1 5" xfId="28" xr:uid="{00000000-0005-0000-0000-00001D000000}"/>
    <cellStyle name="40% - 輔色2 2" xfId="29" xr:uid="{00000000-0005-0000-0000-00001E000000}"/>
    <cellStyle name="40% - 輔色2 3" xfId="30" xr:uid="{00000000-0005-0000-0000-00001F000000}"/>
    <cellStyle name="40% - 輔色2 4" xfId="31" xr:uid="{00000000-0005-0000-0000-000020000000}"/>
    <cellStyle name="40% - 輔色2 5" xfId="32" xr:uid="{00000000-0005-0000-0000-000021000000}"/>
    <cellStyle name="40% - 輔色3 2" xfId="33" xr:uid="{00000000-0005-0000-0000-000022000000}"/>
    <cellStyle name="40% - 輔色3 3" xfId="34" xr:uid="{00000000-0005-0000-0000-000023000000}"/>
    <cellStyle name="40% - 輔色3 4" xfId="35" xr:uid="{00000000-0005-0000-0000-000024000000}"/>
    <cellStyle name="40% - 輔色3 5" xfId="36" xr:uid="{00000000-0005-0000-0000-000025000000}"/>
    <cellStyle name="40% - 輔色4 2" xfId="37" xr:uid="{00000000-0005-0000-0000-000026000000}"/>
    <cellStyle name="40% - 輔色4 3" xfId="38" xr:uid="{00000000-0005-0000-0000-000027000000}"/>
    <cellStyle name="40% - 輔色4 4" xfId="39" xr:uid="{00000000-0005-0000-0000-000028000000}"/>
    <cellStyle name="40% - 輔色4 5" xfId="40" xr:uid="{00000000-0005-0000-0000-000029000000}"/>
    <cellStyle name="40% - 輔色5 2" xfId="41" xr:uid="{00000000-0005-0000-0000-00002A000000}"/>
    <cellStyle name="40% - 輔色5 3" xfId="42" xr:uid="{00000000-0005-0000-0000-00002B000000}"/>
    <cellStyle name="40% - 輔色5 4" xfId="43" xr:uid="{00000000-0005-0000-0000-00002C000000}"/>
    <cellStyle name="40% - 輔色5 5" xfId="44" xr:uid="{00000000-0005-0000-0000-00002D000000}"/>
    <cellStyle name="40% - 輔色6 2" xfId="45" xr:uid="{00000000-0005-0000-0000-00002E000000}"/>
    <cellStyle name="40% - 輔色6 3" xfId="46" xr:uid="{00000000-0005-0000-0000-00002F000000}"/>
    <cellStyle name="40% - 輔色6 4" xfId="47" xr:uid="{00000000-0005-0000-0000-000030000000}"/>
    <cellStyle name="40% - 輔色6 5" xfId="48" xr:uid="{00000000-0005-0000-0000-000031000000}"/>
    <cellStyle name="60% - 輔色1 2" xfId="49" xr:uid="{00000000-0005-0000-0000-000032000000}"/>
    <cellStyle name="60% - 輔色1 3" xfId="50" xr:uid="{00000000-0005-0000-0000-000033000000}"/>
    <cellStyle name="60% - 輔色1 4" xfId="51" xr:uid="{00000000-0005-0000-0000-000034000000}"/>
    <cellStyle name="60% - 輔色1 5" xfId="52" xr:uid="{00000000-0005-0000-0000-000035000000}"/>
    <cellStyle name="60% - 輔色2 2" xfId="53" xr:uid="{00000000-0005-0000-0000-000036000000}"/>
    <cellStyle name="60% - 輔色2 3" xfId="54" xr:uid="{00000000-0005-0000-0000-000037000000}"/>
    <cellStyle name="60% - 輔色2 4" xfId="55" xr:uid="{00000000-0005-0000-0000-000038000000}"/>
    <cellStyle name="60% - 輔色2 5" xfId="56" xr:uid="{00000000-0005-0000-0000-000039000000}"/>
    <cellStyle name="60% - 輔色3 2" xfId="57" xr:uid="{00000000-0005-0000-0000-00003A000000}"/>
    <cellStyle name="60% - 輔色3 3" xfId="58" xr:uid="{00000000-0005-0000-0000-00003B000000}"/>
    <cellStyle name="60% - 輔色3 4" xfId="59" xr:uid="{00000000-0005-0000-0000-00003C000000}"/>
    <cellStyle name="60% - 輔色3 5" xfId="60" xr:uid="{00000000-0005-0000-0000-00003D000000}"/>
    <cellStyle name="60% - 輔色4 2" xfId="61" xr:uid="{00000000-0005-0000-0000-00003E000000}"/>
    <cellStyle name="60% - 輔色4 3" xfId="62" xr:uid="{00000000-0005-0000-0000-00003F000000}"/>
    <cellStyle name="60% - 輔色4 4" xfId="63" xr:uid="{00000000-0005-0000-0000-000040000000}"/>
    <cellStyle name="60% - 輔色4 5" xfId="64" xr:uid="{00000000-0005-0000-0000-000041000000}"/>
    <cellStyle name="60% - 輔色5 2" xfId="65" xr:uid="{00000000-0005-0000-0000-000042000000}"/>
    <cellStyle name="60% - 輔色5 3" xfId="66" xr:uid="{00000000-0005-0000-0000-000043000000}"/>
    <cellStyle name="60% - 輔色5 4" xfId="67" xr:uid="{00000000-0005-0000-0000-000044000000}"/>
    <cellStyle name="60% - 輔色5 5" xfId="68" xr:uid="{00000000-0005-0000-0000-000045000000}"/>
    <cellStyle name="60% - 輔色6 2" xfId="69" xr:uid="{00000000-0005-0000-0000-000046000000}"/>
    <cellStyle name="60% - 輔色6 3" xfId="70" xr:uid="{00000000-0005-0000-0000-000047000000}"/>
    <cellStyle name="60% - 輔色6 4" xfId="71" xr:uid="{00000000-0005-0000-0000-000048000000}"/>
    <cellStyle name="60% - 輔色6 5" xfId="72" xr:uid="{00000000-0005-0000-0000-000049000000}"/>
    <cellStyle name="sample" xfId="73" xr:uid="{00000000-0005-0000-0000-00004A000000}"/>
    <cellStyle name="一般" xfId="0" builtinId="0"/>
    <cellStyle name="一般 10" xfId="74" xr:uid="{00000000-0005-0000-0000-00004C000000}"/>
    <cellStyle name="一般 11" xfId="75" xr:uid="{00000000-0005-0000-0000-00004D000000}"/>
    <cellStyle name="一般 12" xfId="76" xr:uid="{00000000-0005-0000-0000-00004E000000}"/>
    <cellStyle name="一般 13" xfId="77" xr:uid="{00000000-0005-0000-0000-00004F000000}"/>
    <cellStyle name="一般 14" xfId="78" xr:uid="{00000000-0005-0000-0000-000050000000}"/>
    <cellStyle name="一般 15" xfId="79" xr:uid="{00000000-0005-0000-0000-000051000000}"/>
    <cellStyle name="一般 16" xfId="80" xr:uid="{00000000-0005-0000-0000-000052000000}"/>
    <cellStyle name="一般 17" xfId="208" xr:uid="{00000000-0005-0000-0000-000053000000}"/>
    <cellStyle name="一般 18" xfId="209" xr:uid="{00000000-0005-0000-0000-000054000000}"/>
    <cellStyle name="一般 19" xfId="221" xr:uid="{00000000-0005-0000-0000-000055000000}"/>
    <cellStyle name="一般 2" xfId="81" xr:uid="{00000000-0005-0000-0000-000056000000}"/>
    <cellStyle name="一般 2 2" xfId="82" xr:uid="{00000000-0005-0000-0000-000057000000}"/>
    <cellStyle name="一般 2 3" xfId="83" xr:uid="{00000000-0005-0000-0000-000058000000}"/>
    <cellStyle name="一般 3" xfId="84" xr:uid="{00000000-0005-0000-0000-000059000000}"/>
    <cellStyle name="一般 3 2" xfId="85" xr:uid="{00000000-0005-0000-0000-00005A000000}"/>
    <cellStyle name="一般 4" xfId="86" xr:uid="{00000000-0005-0000-0000-00005B000000}"/>
    <cellStyle name="一般 4 2" xfId="87" xr:uid="{00000000-0005-0000-0000-00005C000000}"/>
    <cellStyle name="一般 5" xfId="88" xr:uid="{00000000-0005-0000-0000-00005D000000}"/>
    <cellStyle name="一般 6" xfId="89" xr:uid="{00000000-0005-0000-0000-00005E000000}"/>
    <cellStyle name="一般 6 2" xfId="90" xr:uid="{00000000-0005-0000-0000-00005F000000}"/>
    <cellStyle name="一般 7" xfId="91" xr:uid="{00000000-0005-0000-0000-000060000000}"/>
    <cellStyle name="一般 7 2" xfId="92" xr:uid="{00000000-0005-0000-0000-000061000000}"/>
    <cellStyle name="一般 8" xfId="93" xr:uid="{00000000-0005-0000-0000-000062000000}"/>
    <cellStyle name="一般 8 2" xfId="94" xr:uid="{00000000-0005-0000-0000-000063000000}"/>
    <cellStyle name="一般 9" xfId="95" xr:uid="{00000000-0005-0000-0000-000064000000}"/>
    <cellStyle name="一般_011-98年人民團體數及宗教概況(1)" xfId="96" xr:uid="{00000000-0005-0000-0000-000065000000}"/>
    <cellStyle name="一般_011-99年社會福利(琴惠)" xfId="97" xr:uid="{00000000-0005-0000-0000-000066000000}"/>
    <cellStyle name="一般_11-2宗教教務概況" xfId="98" xr:uid="{00000000-0005-0000-0000-000067000000}"/>
    <cellStyle name="一般_Book2" xfId="99" xr:uid="{00000000-0005-0000-0000-000068000000}"/>
    <cellStyle name="一般_Sheet1" xfId="100" xr:uid="{00000000-0005-0000-0000-000069000000}"/>
    <cellStyle name="一般_Sheet6" xfId="101" xr:uid="{00000000-0005-0000-0000-00006A000000}"/>
    <cellStyle name="一般_Sheet7" xfId="102" xr:uid="{00000000-0005-0000-0000-00006B000000}"/>
    <cellStyle name="一般_合作社概況" xfId="103" xr:uid="{00000000-0005-0000-0000-00006C000000}"/>
    <cellStyle name="一般_宗教等-97年資料11-1至11-3" xfId="104" xr:uid="{00000000-0005-0000-0000-00006D000000}"/>
    <cellStyle name="千分位" xfId="105" builtinId="3"/>
    <cellStyle name="千分位 2" xfId="106" xr:uid="{00000000-0005-0000-0000-00006F000000}"/>
    <cellStyle name="千分位 2 2" xfId="107" xr:uid="{00000000-0005-0000-0000-000070000000}"/>
    <cellStyle name="千分位 3" xfId="108" xr:uid="{00000000-0005-0000-0000-000071000000}"/>
    <cellStyle name="千分位 4" xfId="109" xr:uid="{00000000-0005-0000-0000-000072000000}"/>
    <cellStyle name="千分位[0] 2" xfId="110" xr:uid="{00000000-0005-0000-0000-000073000000}"/>
    <cellStyle name="千分位[0] 2 2" xfId="111" xr:uid="{00000000-0005-0000-0000-000074000000}"/>
    <cellStyle name="千分位[0] 3" xfId="112" xr:uid="{00000000-0005-0000-0000-000075000000}"/>
    <cellStyle name="千分位[0] 4" xfId="113" xr:uid="{00000000-0005-0000-0000-000076000000}"/>
    <cellStyle name="千分位[0] 5" xfId="114" xr:uid="{00000000-0005-0000-0000-000077000000}"/>
    <cellStyle name="千分位[0] 6" xfId="212" xr:uid="{00000000-0005-0000-0000-000078000000}"/>
    <cellStyle name="中等 2" xfId="115" xr:uid="{00000000-0005-0000-0000-000079000000}"/>
    <cellStyle name="中等 3" xfId="116" xr:uid="{00000000-0005-0000-0000-00007A000000}"/>
    <cellStyle name="中等 4" xfId="117" xr:uid="{00000000-0005-0000-0000-00007B000000}"/>
    <cellStyle name="中等 5" xfId="118" xr:uid="{00000000-0005-0000-0000-00007C000000}"/>
    <cellStyle name="合計 2" xfId="119" xr:uid="{00000000-0005-0000-0000-00007D000000}"/>
    <cellStyle name="合計 3" xfId="120" xr:uid="{00000000-0005-0000-0000-00007E000000}"/>
    <cellStyle name="合計 4" xfId="121" xr:uid="{00000000-0005-0000-0000-00007F000000}"/>
    <cellStyle name="合計 5" xfId="122" xr:uid="{00000000-0005-0000-0000-000080000000}"/>
    <cellStyle name="好 2" xfId="123" xr:uid="{00000000-0005-0000-0000-000081000000}"/>
    <cellStyle name="好 3" xfId="124" xr:uid="{00000000-0005-0000-0000-000082000000}"/>
    <cellStyle name="好 4" xfId="125" xr:uid="{00000000-0005-0000-0000-000083000000}"/>
    <cellStyle name="好 5" xfId="126" xr:uid="{00000000-0005-0000-0000-000084000000}"/>
    <cellStyle name="好_12.1 家庭暴力事件通報案件統計10306" xfId="213" xr:uid="{00000000-0005-0000-0000-000085000000}"/>
    <cellStyle name="年資料" xfId="127" xr:uid="{00000000-0005-0000-0000-000086000000}"/>
    <cellStyle name="計算方式 2" xfId="128" xr:uid="{00000000-0005-0000-0000-000087000000}"/>
    <cellStyle name="計算方式 3" xfId="129" xr:uid="{00000000-0005-0000-0000-000088000000}"/>
    <cellStyle name="計算方式 4" xfId="130" xr:uid="{00000000-0005-0000-0000-000089000000}"/>
    <cellStyle name="計算方式 5" xfId="131" xr:uid="{00000000-0005-0000-0000-00008A000000}"/>
    <cellStyle name="連結的儲存格 2" xfId="132" xr:uid="{00000000-0005-0000-0000-00008B000000}"/>
    <cellStyle name="連結的儲存格 3" xfId="133" xr:uid="{00000000-0005-0000-0000-00008C000000}"/>
    <cellStyle name="連結的儲存格 4" xfId="134" xr:uid="{00000000-0005-0000-0000-00008D000000}"/>
    <cellStyle name="連結的儲存格 5" xfId="135" xr:uid="{00000000-0005-0000-0000-00008E000000}"/>
    <cellStyle name="備註 2" xfId="136" xr:uid="{00000000-0005-0000-0000-00008F000000}"/>
    <cellStyle name="備註 3" xfId="137" xr:uid="{00000000-0005-0000-0000-000090000000}"/>
    <cellStyle name="備註 4" xfId="138" xr:uid="{00000000-0005-0000-0000-000091000000}"/>
    <cellStyle name="備註 5" xfId="139" xr:uid="{00000000-0005-0000-0000-000092000000}"/>
    <cellStyle name="說明文字 2" xfId="140" xr:uid="{00000000-0005-0000-0000-000093000000}"/>
    <cellStyle name="說明文字 3" xfId="141" xr:uid="{00000000-0005-0000-0000-000094000000}"/>
    <cellStyle name="說明文字 4" xfId="142" xr:uid="{00000000-0005-0000-0000-000095000000}"/>
    <cellStyle name="說明文字 5" xfId="143" xr:uid="{00000000-0005-0000-0000-000096000000}"/>
    <cellStyle name="輔色1 2" xfId="144" xr:uid="{00000000-0005-0000-0000-000097000000}"/>
    <cellStyle name="輔色1 3" xfId="145" xr:uid="{00000000-0005-0000-0000-000098000000}"/>
    <cellStyle name="輔色1 4" xfId="146" xr:uid="{00000000-0005-0000-0000-000099000000}"/>
    <cellStyle name="輔色1 5" xfId="147" xr:uid="{00000000-0005-0000-0000-00009A000000}"/>
    <cellStyle name="輔色2 2" xfId="148" xr:uid="{00000000-0005-0000-0000-00009B000000}"/>
    <cellStyle name="輔色2 3" xfId="149" xr:uid="{00000000-0005-0000-0000-00009C000000}"/>
    <cellStyle name="輔色2 4" xfId="150" xr:uid="{00000000-0005-0000-0000-00009D000000}"/>
    <cellStyle name="輔色2 5" xfId="151" xr:uid="{00000000-0005-0000-0000-00009E000000}"/>
    <cellStyle name="輔色3 2" xfId="152" xr:uid="{00000000-0005-0000-0000-00009F000000}"/>
    <cellStyle name="輔色3 3" xfId="153" xr:uid="{00000000-0005-0000-0000-0000A0000000}"/>
    <cellStyle name="輔色3 4" xfId="154" xr:uid="{00000000-0005-0000-0000-0000A1000000}"/>
    <cellStyle name="輔色3 5" xfId="155" xr:uid="{00000000-0005-0000-0000-0000A2000000}"/>
    <cellStyle name="輔色4 2" xfId="156" xr:uid="{00000000-0005-0000-0000-0000A3000000}"/>
    <cellStyle name="輔色4 3" xfId="157" xr:uid="{00000000-0005-0000-0000-0000A4000000}"/>
    <cellStyle name="輔色4 4" xfId="158" xr:uid="{00000000-0005-0000-0000-0000A5000000}"/>
    <cellStyle name="輔色4 5" xfId="159" xr:uid="{00000000-0005-0000-0000-0000A6000000}"/>
    <cellStyle name="輔色5 2" xfId="160" xr:uid="{00000000-0005-0000-0000-0000A7000000}"/>
    <cellStyle name="輔色5 3" xfId="161" xr:uid="{00000000-0005-0000-0000-0000A8000000}"/>
    <cellStyle name="輔色5 4" xfId="162" xr:uid="{00000000-0005-0000-0000-0000A9000000}"/>
    <cellStyle name="輔色5 5" xfId="163" xr:uid="{00000000-0005-0000-0000-0000AA000000}"/>
    <cellStyle name="輔色6 2" xfId="164" xr:uid="{00000000-0005-0000-0000-0000AB000000}"/>
    <cellStyle name="輔色6 3" xfId="165" xr:uid="{00000000-0005-0000-0000-0000AC000000}"/>
    <cellStyle name="輔色6 4" xfId="166" xr:uid="{00000000-0005-0000-0000-0000AD000000}"/>
    <cellStyle name="輔色6 5" xfId="167" xr:uid="{00000000-0005-0000-0000-0000AE000000}"/>
    <cellStyle name="標題 1 2" xfId="168" xr:uid="{00000000-0005-0000-0000-0000AF000000}"/>
    <cellStyle name="標題 1 3" xfId="169" xr:uid="{00000000-0005-0000-0000-0000B0000000}"/>
    <cellStyle name="標題 1 4" xfId="170" xr:uid="{00000000-0005-0000-0000-0000B1000000}"/>
    <cellStyle name="標題 1 5" xfId="171" xr:uid="{00000000-0005-0000-0000-0000B2000000}"/>
    <cellStyle name="標題 2 2" xfId="172" xr:uid="{00000000-0005-0000-0000-0000B3000000}"/>
    <cellStyle name="標題 2 3" xfId="173" xr:uid="{00000000-0005-0000-0000-0000B4000000}"/>
    <cellStyle name="標題 2 4" xfId="174" xr:uid="{00000000-0005-0000-0000-0000B5000000}"/>
    <cellStyle name="標題 2 5" xfId="175" xr:uid="{00000000-0005-0000-0000-0000B6000000}"/>
    <cellStyle name="標題 3 2" xfId="176" xr:uid="{00000000-0005-0000-0000-0000B7000000}"/>
    <cellStyle name="標題 3 3" xfId="177" xr:uid="{00000000-0005-0000-0000-0000B8000000}"/>
    <cellStyle name="標題 3 4" xfId="178" xr:uid="{00000000-0005-0000-0000-0000B9000000}"/>
    <cellStyle name="標題 3 5" xfId="179" xr:uid="{00000000-0005-0000-0000-0000BA000000}"/>
    <cellStyle name="標題 4 2" xfId="180" xr:uid="{00000000-0005-0000-0000-0000BB000000}"/>
    <cellStyle name="標題 4 3" xfId="181" xr:uid="{00000000-0005-0000-0000-0000BC000000}"/>
    <cellStyle name="標題 4 4" xfId="182" xr:uid="{00000000-0005-0000-0000-0000BD000000}"/>
    <cellStyle name="標題 4 5" xfId="183" xr:uid="{00000000-0005-0000-0000-0000BE000000}"/>
    <cellStyle name="標題 5" xfId="184" xr:uid="{00000000-0005-0000-0000-0000BF000000}"/>
    <cellStyle name="標題 6" xfId="185" xr:uid="{00000000-0005-0000-0000-0000C0000000}"/>
    <cellStyle name="標題 7" xfId="186" xr:uid="{00000000-0005-0000-0000-0000C1000000}"/>
    <cellStyle name="標題 8" xfId="187" xr:uid="{00000000-0005-0000-0000-0000C2000000}"/>
    <cellStyle name="輸入 2" xfId="188" xr:uid="{00000000-0005-0000-0000-0000C3000000}"/>
    <cellStyle name="輸入 3" xfId="189" xr:uid="{00000000-0005-0000-0000-0000C4000000}"/>
    <cellStyle name="輸入 4" xfId="190" xr:uid="{00000000-0005-0000-0000-0000C5000000}"/>
    <cellStyle name="輸入 5" xfId="191" xr:uid="{00000000-0005-0000-0000-0000C6000000}"/>
    <cellStyle name="輸出 2" xfId="192" xr:uid="{00000000-0005-0000-0000-0000C7000000}"/>
    <cellStyle name="輸出 3" xfId="193" xr:uid="{00000000-0005-0000-0000-0000C8000000}"/>
    <cellStyle name="輸出 4" xfId="194" xr:uid="{00000000-0005-0000-0000-0000C9000000}"/>
    <cellStyle name="輸出 5" xfId="195" xr:uid="{00000000-0005-0000-0000-0000CA000000}"/>
    <cellStyle name="㼿" xfId="214" xr:uid="{00000000-0005-0000-0000-0000CB000000}"/>
    <cellStyle name="㼿?" xfId="215" xr:uid="{00000000-0005-0000-0000-0000CC000000}"/>
    <cellStyle name="㼿㼿" xfId="216" xr:uid="{00000000-0005-0000-0000-0000CD000000}"/>
    <cellStyle name="㼿㼿?" xfId="217" xr:uid="{00000000-0005-0000-0000-0000CE000000}"/>
    <cellStyle name="㼿㼿㼿" xfId="218" xr:uid="{00000000-0005-0000-0000-0000CF000000}"/>
    <cellStyle name="㼿㼿㼿㼿?" xfId="219" xr:uid="{00000000-0005-0000-0000-0000D0000000}"/>
    <cellStyle name="檢查儲存格 2" xfId="196" xr:uid="{00000000-0005-0000-0000-0000D1000000}"/>
    <cellStyle name="檢查儲存格 3" xfId="197" xr:uid="{00000000-0005-0000-0000-0000D2000000}"/>
    <cellStyle name="檢查儲存格 4" xfId="198" xr:uid="{00000000-0005-0000-0000-0000D3000000}"/>
    <cellStyle name="檢查儲存格 5" xfId="199" xr:uid="{00000000-0005-0000-0000-0000D4000000}"/>
    <cellStyle name="壞 2" xfId="200" xr:uid="{00000000-0005-0000-0000-0000D5000000}"/>
    <cellStyle name="壞 3" xfId="201" xr:uid="{00000000-0005-0000-0000-0000D6000000}"/>
    <cellStyle name="壞 4" xfId="202" xr:uid="{00000000-0005-0000-0000-0000D7000000}"/>
    <cellStyle name="壞 5" xfId="203" xr:uid="{00000000-0005-0000-0000-0000D8000000}"/>
    <cellStyle name="壞_12.1 家庭暴力事件通報案件統計10306" xfId="220" xr:uid="{00000000-0005-0000-0000-0000D9000000}"/>
    <cellStyle name="警告文字 2" xfId="204" xr:uid="{00000000-0005-0000-0000-0000DA000000}"/>
    <cellStyle name="警告文字 3" xfId="205" xr:uid="{00000000-0005-0000-0000-0000DB000000}"/>
    <cellStyle name="警告文字 4" xfId="206" xr:uid="{00000000-0005-0000-0000-0000DC000000}"/>
    <cellStyle name="警告文字 5" xfId="207" xr:uid="{00000000-0005-0000-0000-0000DD000000}"/>
  </cellStyles>
  <dxfs count="1">
    <dxf>
      <font>
        <color rgb="FF9C0006"/>
      </font>
      <fill>
        <patternFill>
          <bgColor rgb="FFFFC7CE"/>
        </patternFill>
      </fill>
    </dxf>
  </dxfs>
  <tableStyles count="0" defaultTableStyle="TableStyleMedium2" defaultPivotStyle="PivotStyleLight16"/>
  <colors>
    <mruColors>
      <color rgb="FFCC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alcChain" Target="calcChain.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externalLink" Target="externalLinks/externalLink1.xml"/><Relationship Id="rId8" Type="http://schemas.openxmlformats.org/officeDocument/2006/relationships/worksheet" Target="worksheets/sheet8.xml"/><Relationship Id="rId3" Type="http://schemas.openxmlformats.org/officeDocument/2006/relationships/worksheet" Target="worksheets/sheet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10054202/Desktop/107&#24180;&#24180;&#22577;&#20219;&#21209;_&#37041;&#32043;&#33777;/&#25105;&#33258;&#24049;&#31456;&#31680;&#24180;&#22577;&#20316;&#26989;/0662/A.&#19978;&#32178;&#27511;&#26376;&#36039;&#26009;&#24235;/&#36899;&#32080;&#34920;/100&#24180;&#24460;(&#25913;&#21046;&#24460;)/&#35079;&#26412;%2001-&#36899;&#32080;&#34920;(new).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CRPC160"/>
      <sheetName val="05"/>
      <sheetName val="08"/>
      <sheetName val="09"/>
    </sheetNames>
    <sheetDataSet>
      <sheetData sheetId="0" refreshError="1">
        <row r="17">
          <cell r="G17">
            <v>770894</v>
          </cell>
        </row>
      </sheetData>
      <sheetData sheetId="1" refreshError="1"/>
      <sheetData sheetId="2" refreshError="1"/>
      <sheetData sheetId="3" refreshError="1"/>
    </sheetDataSet>
  </externalBook>
</externalLink>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工作表2"/>
  <dimension ref="A1:Q24"/>
  <sheetViews>
    <sheetView showGridLines="0" view="pageBreakPreview" zoomScaleNormal="120" zoomScaleSheetLayoutView="100" workbookViewId="0">
      <pane xSplit="1" ySplit="7" topLeftCell="B11" activePane="bottomRight" state="frozen"/>
      <selection activeCell="J43" sqref="J43"/>
      <selection pane="topRight" activeCell="J43" sqref="J43"/>
      <selection pane="bottomLeft" activeCell="J43" sqref="J43"/>
      <selection pane="bottomRight" sqref="A1:XFD1048576"/>
    </sheetView>
  </sheetViews>
  <sheetFormatPr defaultRowHeight="12.75"/>
  <cols>
    <col min="1" max="1" width="10.625" style="234" customWidth="1"/>
    <col min="2" max="7" width="10.625" style="2" customWidth="1"/>
    <col min="8" max="8" width="11.125" style="2" customWidth="1"/>
    <col min="9" max="17" width="9.625" style="2" customWidth="1"/>
    <col min="18" max="16384" width="9" style="2"/>
  </cols>
  <sheetData>
    <row r="1" spans="1:17" s="234" customFormat="1" ht="18" customHeight="1">
      <c r="A1" s="90" t="s">
        <v>934</v>
      </c>
      <c r="B1" s="230"/>
      <c r="C1" s="230"/>
      <c r="D1" s="230"/>
      <c r="E1" s="221"/>
      <c r="F1" s="221"/>
      <c r="G1" s="221"/>
      <c r="Q1" s="222" t="s">
        <v>0</v>
      </c>
    </row>
    <row r="2" spans="1:17" s="234" customFormat="1" ht="24.95" customHeight="1">
      <c r="A2" s="606" t="s">
        <v>1035</v>
      </c>
      <c r="B2" s="606"/>
      <c r="C2" s="606"/>
      <c r="D2" s="606"/>
      <c r="E2" s="606"/>
      <c r="F2" s="606"/>
      <c r="G2" s="606"/>
      <c r="H2" s="606"/>
      <c r="I2" s="606" t="s">
        <v>1</v>
      </c>
      <c r="J2" s="606"/>
      <c r="K2" s="606"/>
      <c r="L2" s="606"/>
      <c r="M2" s="606"/>
      <c r="N2" s="606"/>
      <c r="O2" s="606"/>
      <c r="P2" s="606"/>
      <c r="Q2" s="606"/>
    </row>
    <row r="3" spans="1:17" s="234" customFormat="1" ht="15" customHeight="1" thickBot="1">
      <c r="A3" s="231"/>
      <c r="B3" s="231"/>
      <c r="C3" s="231"/>
      <c r="D3" s="231"/>
      <c r="E3" s="230"/>
      <c r="F3" s="235"/>
      <c r="G3" s="235"/>
      <c r="H3" s="105" t="s">
        <v>1036</v>
      </c>
      <c r="P3" s="607" t="s">
        <v>2</v>
      </c>
      <c r="Q3" s="607"/>
    </row>
    <row r="4" spans="1:17" s="234" customFormat="1" ht="20.100000000000001" customHeight="1">
      <c r="A4" s="608" t="s">
        <v>433</v>
      </c>
      <c r="B4" s="610" t="s">
        <v>1309</v>
      </c>
      <c r="C4" s="611"/>
      <c r="D4" s="611"/>
      <c r="E4" s="611"/>
      <c r="F4" s="611"/>
      <c r="G4" s="611"/>
      <c r="H4" s="612"/>
      <c r="I4" s="613" t="s">
        <v>434</v>
      </c>
      <c r="J4" s="613"/>
      <c r="K4" s="613"/>
      <c r="L4" s="613"/>
      <c r="M4" s="613"/>
      <c r="N4" s="613"/>
      <c r="O4" s="613"/>
      <c r="P4" s="613"/>
      <c r="Q4" s="613"/>
    </row>
    <row r="5" spans="1:17" s="234" customFormat="1" ht="20.100000000000001" customHeight="1">
      <c r="A5" s="609"/>
      <c r="B5" s="614" t="s">
        <v>3</v>
      </c>
      <c r="C5" s="615"/>
      <c r="D5" s="615"/>
      <c r="E5" s="615"/>
      <c r="F5" s="615"/>
      <c r="G5" s="615"/>
      <c r="H5" s="616"/>
      <c r="I5" s="617" t="s">
        <v>4</v>
      </c>
      <c r="J5" s="617"/>
      <c r="K5" s="617"/>
      <c r="L5" s="617"/>
      <c r="M5" s="617"/>
      <c r="N5" s="617"/>
      <c r="O5" s="617"/>
      <c r="P5" s="617"/>
      <c r="Q5" s="617"/>
    </row>
    <row r="6" spans="1:17" s="234" customFormat="1" ht="42" customHeight="1">
      <c r="A6" s="609"/>
      <c r="B6" s="236" t="s">
        <v>435</v>
      </c>
      <c r="C6" s="237" t="s">
        <v>1307</v>
      </c>
      <c r="D6" s="237" t="s">
        <v>436</v>
      </c>
      <c r="E6" s="237" t="s">
        <v>437</v>
      </c>
      <c r="F6" s="564" t="s">
        <v>438</v>
      </c>
      <c r="G6" s="564" t="s">
        <v>439</v>
      </c>
      <c r="H6" s="565" t="s">
        <v>1308</v>
      </c>
      <c r="I6" s="566" t="s">
        <v>1304</v>
      </c>
      <c r="J6" s="565" t="s">
        <v>441</v>
      </c>
      <c r="K6" s="565" t="s">
        <v>442</v>
      </c>
      <c r="L6" s="565" t="s">
        <v>443</v>
      </c>
      <c r="M6" s="565" t="s">
        <v>1310</v>
      </c>
      <c r="N6" s="565" t="s">
        <v>1306</v>
      </c>
      <c r="O6" s="565" t="s">
        <v>444</v>
      </c>
      <c r="P6" s="565" t="s">
        <v>1115</v>
      </c>
      <c r="Q6" s="567" t="s">
        <v>1311</v>
      </c>
    </row>
    <row r="7" spans="1:17" s="234" customFormat="1" ht="49.9" customHeight="1" thickBot="1">
      <c r="A7" s="232" t="s">
        <v>5</v>
      </c>
      <c r="B7" s="238" t="s">
        <v>6</v>
      </c>
      <c r="C7" s="239" t="s">
        <v>7</v>
      </c>
      <c r="D7" s="239" t="s">
        <v>8</v>
      </c>
      <c r="E7" s="239" t="s">
        <v>9</v>
      </c>
      <c r="F7" s="239" t="s">
        <v>10</v>
      </c>
      <c r="G7" s="239" t="s">
        <v>11</v>
      </c>
      <c r="H7" s="239" t="s">
        <v>12</v>
      </c>
      <c r="I7" s="240" t="s">
        <v>13</v>
      </c>
      <c r="J7" s="568" t="s">
        <v>14</v>
      </c>
      <c r="K7" s="568" t="s">
        <v>15</v>
      </c>
      <c r="L7" s="568" t="s">
        <v>16</v>
      </c>
      <c r="M7" s="568" t="s">
        <v>17</v>
      </c>
      <c r="N7" s="568" t="s">
        <v>18</v>
      </c>
      <c r="O7" s="568" t="s">
        <v>19</v>
      </c>
      <c r="P7" s="568" t="s">
        <v>20</v>
      </c>
      <c r="Q7" s="241" t="s">
        <v>21</v>
      </c>
    </row>
    <row r="8" spans="1:17" ht="56.45" customHeight="1">
      <c r="A8" s="233" t="s">
        <v>446</v>
      </c>
      <c r="B8" s="4">
        <f>SUM(C8:H8)</f>
        <v>692</v>
      </c>
      <c r="C8" s="5">
        <v>13</v>
      </c>
      <c r="D8" s="5">
        <v>2</v>
      </c>
      <c r="E8" s="5">
        <v>400</v>
      </c>
      <c r="F8" s="4">
        <v>1</v>
      </c>
      <c r="G8" s="4">
        <v>114</v>
      </c>
      <c r="H8" s="5">
        <v>162</v>
      </c>
      <c r="I8" s="6">
        <v>1552</v>
      </c>
      <c r="J8" s="6">
        <v>253</v>
      </c>
      <c r="K8" s="6">
        <v>24</v>
      </c>
      <c r="L8" s="6">
        <v>68</v>
      </c>
      <c r="M8" s="6">
        <v>211</v>
      </c>
      <c r="N8" s="6">
        <v>372</v>
      </c>
      <c r="O8" s="6">
        <v>165</v>
      </c>
      <c r="P8" s="6">
        <v>152</v>
      </c>
      <c r="Q8" s="6">
        <v>307</v>
      </c>
    </row>
    <row r="9" spans="1:17" ht="56.45" customHeight="1">
      <c r="A9" s="233" t="s">
        <v>447</v>
      </c>
      <c r="B9" s="4">
        <f>SUM(C9:H9)</f>
        <v>704</v>
      </c>
      <c r="C9" s="5">
        <v>13</v>
      </c>
      <c r="D9" s="5">
        <v>2</v>
      </c>
      <c r="E9" s="5">
        <v>416</v>
      </c>
      <c r="F9" s="4">
        <v>1</v>
      </c>
      <c r="G9" s="4">
        <v>115</v>
      </c>
      <c r="H9" s="5">
        <v>157</v>
      </c>
      <c r="I9" s="6">
        <v>1640</v>
      </c>
      <c r="J9" s="6">
        <v>282</v>
      </c>
      <c r="K9" s="6">
        <v>22</v>
      </c>
      <c r="L9" s="6">
        <v>73</v>
      </c>
      <c r="M9" s="6">
        <v>213</v>
      </c>
      <c r="N9" s="6">
        <v>389</v>
      </c>
      <c r="O9" s="6">
        <v>173</v>
      </c>
      <c r="P9" s="6">
        <v>165</v>
      </c>
      <c r="Q9" s="6">
        <v>323</v>
      </c>
    </row>
    <row r="10" spans="1:17" ht="56.45" customHeight="1">
      <c r="A10" s="233" t="s">
        <v>448</v>
      </c>
      <c r="B10" s="4">
        <v>732</v>
      </c>
      <c r="C10" s="5">
        <v>13</v>
      </c>
      <c r="D10" s="5">
        <v>2</v>
      </c>
      <c r="E10" s="5">
        <v>436</v>
      </c>
      <c r="F10" s="4">
        <v>1</v>
      </c>
      <c r="G10" s="4">
        <v>118</v>
      </c>
      <c r="H10" s="5">
        <v>162</v>
      </c>
      <c r="I10" s="6">
        <v>1771</v>
      </c>
      <c r="J10" s="6">
        <v>296</v>
      </c>
      <c r="K10" s="6">
        <v>24</v>
      </c>
      <c r="L10" s="6">
        <v>78</v>
      </c>
      <c r="M10" s="6">
        <v>230</v>
      </c>
      <c r="N10" s="6">
        <v>433</v>
      </c>
      <c r="O10" s="6">
        <v>181</v>
      </c>
      <c r="P10" s="6">
        <v>183</v>
      </c>
      <c r="Q10" s="6">
        <v>346</v>
      </c>
    </row>
    <row r="11" spans="1:17" ht="56.45" customHeight="1">
      <c r="A11" s="233" t="s">
        <v>449</v>
      </c>
      <c r="B11" s="4">
        <v>743</v>
      </c>
      <c r="C11" s="5">
        <v>13</v>
      </c>
      <c r="D11" s="5">
        <v>2</v>
      </c>
      <c r="E11" s="5">
        <v>446</v>
      </c>
      <c r="F11" s="4">
        <v>1</v>
      </c>
      <c r="G11" s="4">
        <v>118</v>
      </c>
      <c r="H11" s="5">
        <v>163</v>
      </c>
      <c r="I11" s="6">
        <v>1901</v>
      </c>
      <c r="J11" s="6">
        <v>313</v>
      </c>
      <c r="K11" s="6">
        <v>25</v>
      </c>
      <c r="L11" s="6">
        <v>86</v>
      </c>
      <c r="M11" s="6">
        <v>245</v>
      </c>
      <c r="N11" s="6">
        <v>461</v>
      </c>
      <c r="O11" s="6">
        <v>194</v>
      </c>
      <c r="P11" s="6">
        <v>197</v>
      </c>
      <c r="Q11" s="6">
        <v>380</v>
      </c>
    </row>
    <row r="12" spans="1:17" ht="56.45" customHeight="1">
      <c r="A12" s="233" t="s">
        <v>1312</v>
      </c>
      <c r="B12" s="4">
        <v>751</v>
      </c>
      <c r="C12" s="5">
        <v>13</v>
      </c>
      <c r="D12" s="5">
        <v>2</v>
      </c>
      <c r="E12" s="5">
        <v>450</v>
      </c>
      <c r="F12" s="5">
        <v>1</v>
      </c>
      <c r="G12" s="5">
        <v>118</v>
      </c>
      <c r="H12" s="5">
        <v>167</v>
      </c>
      <c r="I12" s="7">
        <v>2042</v>
      </c>
      <c r="J12" s="7">
        <v>334</v>
      </c>
      <c r="K12" s="7">
        <v>26</v>
      </c>
      <c r="L12" s="7">
        <v>100</v>
      </c>
      <c r="M12" s="7">
        <v>260</v>
      </c>
      <c r="N12" s="7">
        <v>504</v>
      </c>
      <c r="O12" s="7">
        <v>208</v>
      </c>
      <c r="P12" s="7">
        <v>213</v>
      </c>
      <c r="Q12" s="7">
        <v>397</v>
      </c>
    </row>
    <row r="13" spans="1:17" ht="56.45" customHeight="1">
      <c r="A13" s="233" t="s">
        <v>451</v>
      </c>
      <c r="B13" s="4">
        <v>768</v>
      </c>
      <c r="C13" s="5">
        <v>13</v>
      </c>
      <c r="D13" s="5">
        <v>2</v>
      </c>
      <c r="E13" s="5">
        <v>464</v>
      </c>
      <c r="F13" s="5">
        <v>1</v>
      </c>
      <c r="G13" s="5">
        <v>119</v>
      </c>
      <c r="H13" s="5">
        <v>169</v>
      </c>
      <c r="I13" s="7">
        <v>2186</v>
      </c>
      <c r="J13" s="7">
        <v>353</v>
      </c>
      <c r="K13" s="7">
        <v>26</v>
      </c>
      <c r="L13" s="7">
        <v>116</v>
      </c>
      <c r="M13" s="7">
        <v>284</v>
      </c>
      <c r="N13" s="7">
        <v>531</v>
      </c>
      <c r="O13" s="7">
        <v>229</v>
      </c>
      <c r="P13" s="7">
        <v>222</v>
      </c>
      <c r="Q13" s="7">
        <v>425</v>
      </c>
    </row>
    <row r="14" spans="1:17" ht="56.45" customHeight="1">
      <c r="A14" s="524" t="s">
        <v>452</v>
      </c>
      <c r="B14" s="76">
        <f>SUM(C14:H14)</f>
        <v>776</v>
      </c>
      <c r="C14" s="5">
        <v>13</v>
      </c>
      <c r="D14" s="5">
        <v>2</v>
      </c>
      <c r="E14" s="5">
        <v>471</v>
      </c>
      <c r="F14" s="4">
        <v>1</v>
      </c>
      <c r="G14" s="4">
        <v>120</v>
      </c>
      <c r="H14" s="5">
        <v>169</v>
      </c>
      <c r="I14" s="7">
        <f>SUM(J14:Q14)</f>
        <v>2399</v>
      </c>
      <c r="J14" s="7">
        <v>387</v>
      </c>
      <c r="K14" s="7">
        <v>26</v>
      </c>
      <c r="L14" s="7">
        <v>136</v>
      </c>
      <c r="M14" s="7">
        <v>313</v>
      </c>
      <c r="N14" s="7">
        <v>579</v>
      </c>
      <c r="O14" s="7">
        <v>260</v>
      </c>
      <c r="P14" s="75">
        <v>249</v>
      </c>
      <c r="Q14" s="7">
        <v>449</v>
      </c>
    </row>
    <row r="15" spans="1:17" ht="56.45" customHeight="1">
      <c r="A15" s="233" t="s">
        <v>1313</v>
      </c>
      <c r="B15" s="76">
        <f>SUM(C15:H15)</f>
        <v>788</v>
      </c>
      <c r="C15" s="249">
        <v>13</v>
      </c>
      <c r="D15" s="249">
        <v>2</v>
      </c>
      <c r="E15" s="249">
        <v>481</v>
      </c>
      <c r="F15" s="4">
        <v>1</v>
      </c>
      <c r="G15" s="4">
        <v>121</v>
      </c>
      <c r="H15" s="5">
        <v>170</v>
      </c>
      <c r="I15" s="4">
        <f>SUM(J15:Q15)</f>
        <v>2558</v>
      </c>
      <c r="J15" s="7">
        <v>418</v>
      </c>
      <c r="K15" s="7">
        <v>26</v>
      </c>
      <c r="L15" s="7">
        <v>141</v>
      </c>
      <c r="M15" s="7">
        <v>331</v>
      </c>
      <c r="N15" s="7">
        <v>621</v>
      </c>
      <c r="O15" s="7">
        <v>267</v>
      </c>
      <c r="P15" s="7">
        <v>272</v>
      </c>
      <c r="Q15" s="7">
        <v>482</v>
      </c>
    </row>
    <row r="16" spans="1:17" ht="56.45" customHeight="1">
      <c r="A16" s="233" t="s">
        <v>1314</v>
      </c>
      <c r="B16" s="76">
        <f>SUM(C16:H16)</f>
        <v>747</v>
      </c>
      <c r="C16" s="249">
        <v>13</v>
      </c>
      <c r="D16" s="249">
        <v>2</v>
      </c>
      <c r="E16" s="249">
        <v>453</v>
      </c>
      <c r="F16" s="332">
        <v>1</v>
      </c>
      <c r="G16" s="332">
        <v>103</v>
      </c>
      <c r="H16" s="5">
        <v>175</v>
      </c>
      <c r="I16" s="4">
        <f>SUM(J16:Q16)</f>
        <v>2722</v>
      </c>
      <c r="J16" s="7">
        <v>455</v>
      </c>
      <c r="K16" s="7">
        <v>28</v>
      </c>
      <c r="L16" s="7">
        <v>144</v>
      </c>
      <c r="M16" s="7">
        <v>351</v>
      </c>
      <c r="N16" s="7">
        <v>649</v>
      </c>
      <c r="O16" s="7">
        <v>276</v>
      </c>
      <c r="P16" s="7">
        <v>289</v>
      </c>
      <c r="Q16" s="7">
        <v>530</v>
      </c>
    </row>
    <row r="17" spans="1:17" s="333" customFormat="1" ht="56.45" customHeight="1" thickBot="1">
      <c r="A17" s="402" t="s">
        <v>1248</v>
      </c>
      <c r="B17" s="403">
        <f>SUM(C17:H17)</f>
        <v>761</v>
      </c>
      <c r="C17" s="404">
        <v>13</v>
      </c>
      <c r="D17" s="404">
        <v>2</v>
      </c>
      <c r="E17" s="404">
        <v>463</v>
      </c>
      <c r="F17" s="405">
        <v>1</v>
      </c>
      <c r="G17" s="405">
        <v>104</v>
      </c>
      <c r="H17" s="404">
        <v>178</v>
      </c>
      <c r="I17" s="405">
        <f>SUM(J17:Q17)</f>
        <v>2724</v>
      </c>
      <c r="J17" s="406">
        <v>438</v>
      </c>
      <c r="K17" s="406">
        <v>24</v>
      </c>
      <c r="L17" s="406">
        <v>158</v>
      </c>
      <c r="M17" s="406">
        <v>342</v>
      </c>
      <c r="N17" s="406">
        <v>630</v>
      </c>
      <c r="O17" s="406">
        <v>286</v>
      </c>
      <c r="P17" s="406">
        <v>302</v>
      </c>
      <c r="Q17" s="406">
        <v>544</v>
      </c>
    </row>
    <row r="18" spans="1:17" s="234" customFormat="1" ht="15" customHeight="1">
      <c r="A18" s="294" t="s">
        <v>1305</v>
      </c>
      <c r="B18" s="242"/>
      <c r="C18" s="242"/>
      <c r="D18" s="230"/>
      <c r="I18" s="221" t="s">
        <v>22</v>
      </c>
      <c r="J18" s="221"/>
      <c r="K18" s="221"/>
      <c r="L18" s="221"/>
    </row>
    <row r="19" spans="1:17" s="234" customFormat="1"/>
    <row r="20" spans="1:17" s="234" customFormat="1"/>
    <row r="21" spans="1:17" s="234" customFormat="1"/>
    <row r="22" spans="1:17" s="234" customFormat="1"/>
    <row r="23" spans="1:17" s="234" customFormat="1"/>
    <row r="24" spans="1:17" s="234" customFormat="1"/>
  </sheetData>
  <mergeCells count="8">
    <mergeCell ref="A2:H2"/>
    <mergeCell ref="I2:Q2"/>
    <mergeCell ref="P3:Q3"/>
    <mergeCell ref="A4:A6"/>
    <mergeCell ref="B4:H4"/>
    <mergeCell ref="I4:Q4"/>
    <mergeCell ref="B5:H5"/>
    <mergeCell ref="I5:Q5"/>
  </mergeCells>
  <phoneticPr fontId="3" type="noConversion"/>
  <printOptions horizontalCentered="1"/>
  <pageMargins left="0.6692913385826772" right="0.6692913385826772" top="0.6692913385826772" bottom="0.6692913385826772" header="0.27559055118110237" footer="0.27559055118110237"/>
  <pageSetup paperSize="9" firstPageNumber="352" orientation="portrait" useFirstPageNumber="1"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工作表11"/>
  <dimension ref="A1:O43"/>
  <sheetViews>
    <sheetView showGridLines="0" view="pageBreakPreview" zoomScale="80" zoomScaleNormal="70" zoomScaleSheetLayoutView="80" workbookViewId="0">
      <pane xSplit="1" ySplit="7" topLeftCell="B14" activePane="bottomRight" state="frozen"/>
      <selection activeCell="H15" sqref="H15"/>
      <selection pane="topRight" activeCell="H15" sqref="H15"/>
      <selection pane="bottomLeft" activeCell="H15" sqref="H15"/>
      <selection pane="bottomRight" activeCell="N17" sqref="N17"/>
    </sheetView>
  </sheetViews>
  <sheetFormatPr defaultRowHeight="12.75"/>
  <cols>
    <col min="1" max="1" width="22.625" style="448" customWidth="1"/>
    <col min="2" max="3" width="32.625" style="31" customWidth="1"/>
    <col min="4" max="9" width="14.625" style="31" customWidth="1"/>
    <col min="10" max="16384" width="9" style="31"/>
  </cols>
  <sheetData>
    <row r="1" spans="1:15" s="448" customFormat="1" ht="18" customHeight="1">
      <c r="A1" s="121" t="s">
        <v>934</v>
      </c>
      <c r="B1" s="121"/>
      <c r="C1" s="121"/>
      <c r="D1" s="121"/>
      <c r="E1" s="121"/>
      <c r="I1" s="446" t="s">
        <v>194</v>
      </c>
    </row>
    <row r="2" spans="1:15" s="448" customFormat="1" ht="24.95" customHeight="1">
      <c r="A2" s="643" t="s">
        <v>1018</v>
      </c>
      <c r="B2" s="643"/>
      <c r="C2" s="643"/>
      <c r="D2" s="679" t="s">
        <v>195</v>
      </c>
      <c r="E2" s="643"/>
      <c r="F2" s="643"/>
      <c r="G2" s="643"/>
      <c r="H2" s="643"/>
      <c r="I2" s="704"/>
      <c r="J2" s="98"/>
      <c r="K2" s="98"/>
      <c r="L2" s="98"/>
      <c r="M2" s="98"/>
      <c r="N2" s="98"/>
      <c r="O2" s="98"/>
    </row>
    <row r="3" spans="1:15" s="448" customFormat="1" ht="15" customHeight="1" thickBot="1">
      <c r="A3" s="435"/>
      <c r="B3" s="435"/>
      <c r="C3" s="260" t="s">
        <v>1019</v>
      </c>
      <c r="D3" s="435"/>
      <c r="E3" s="435"/>
      <c r="F3" s="435"/>
      <c r="H3" s="435"/>
      <c r="I3" s="260" t="s">
        <v>196</v>
      </c>
    </row>
    <row r="4" spans="1:15" s="448" customFormat="1" ht="26.1" customHeight="1">
      <c r="A4" s="681" t="s">
        <v>626</v>
      </c>
      <c r="B4" s="751" t="s">
        <v>649</v>
      </c>
      <c r="C4" s="752"/>
      <c r="D4" s="753" t="s">
        <v>1020</v>
      </c>
      <c r="E4" s="752"/>
      <c r="F4" s="752" t="s">
        <v>650</v>
      </c>
      <c r="G4" s="752"/>
      <c r="H4" s="752" t="s">
        <v>1021</v>
      </c>
      <c r="I4" s="709"/>
    </row>
    <row r="5" spans="1:15" s="448" customFormat="1" ht="32.1" customHeight="1">
      <c r="A5" s="682"/>
      <c r="B5" s="754" t="s">
        <v>197</v>
      </c>
      <c r="C5" s="713"/>
      <c r="D5" s="712" t="s">
        <v>198</v>
      </c>
      <c r="E5" s="713"/>
      <c r="F5" s="713" t="s">
        <v>199</v>
      </c>
      <c r="G5" s="713"/>
      <c r="H5" s="713" t="s">
        <v>200</v>
      </c>
      <c r="I5" s="715"/>
    </row>
    <row r="6" spans="1:15" s="448" customFormat="1" ht="26.1" customHeight="1">
      <c r="A6" s="682" t="s">
        <v>201</v>
      </c>
      <c r="B6" s="437" t="s">
        <v>560</v>
      </c>
      <c r="C6" s="432" t="s">
        <v>651</v>
      </c>
      <c r="D6" s="440" t="s">
        <v>525</v>
      </c>
      <c r="E6" s="432" t="s">
        <v>526</v>
      </c>
      <c r="F6" s="432" t="s">
        <v>525</v>
      </c>
      <c r="G6" s="432" t="s">
        <v>526</v>
      </c>
      <c r="H6" s="432" t="s">
        <v>975</v>
      </c>
      <c r="I6" s="442" t="s">
        <v>526</v>
      </c>
    </row>
    <row r="7" spans="1:15" s="448" customFormat="1" ht="26.1" customHeight="1" thickBot="1">
      <c r="A7" s="701"/>
      <c r="B7" s="439" t="s">
        <v>202</v>
      </c>
      <c r="C7" s="434" t="s">
        <v>203</v>
      </c>
      <c r="D7" s="441" t="s">
        <v>204</v>
      </c>
      <c r="E7" s="434" t="s">
        <v>205</v>
      </c>
      <c r="F7" s="434" t="s">
        <v>204</v>
      </c>
      <c r="G7" s="434" t="s">
        <v>205</v>
      </c>
      <c r="H7" s="434" t="s">
        <v>421</v>
      </c>
      <c r="I7" s="443" t="s">
        <v>205</v>
      </c>
    </row>
    <row r="8" spans="1:15" ht="58.9" customHeight="1">
      <c r="A8" s="505" t="s">
        <v>1254</v>
      </c>
      <c r="B8" s="377">
        <v>24</v>
      </c>
      <c r="C8" s="377">
        <v>1136</v>
      </c>
      <c r="D8" s="376">
        <v>238196</v>
      </c>
      <c r="E8" s="376">
        <v>918085</v>
      </c>
      <c r="F8" s="376">
        <v>4421</v>
      </c>
      <c r="G8" s="376">
        <v>42595</v>
      </c>
      <c r="H8" s="376">
        <v>2419</v>
      </c>
      <c r="I8" s="48">
        <v>300505</v>
      </c>
    </row>
    <row r="9" spans="1:15" ht="58.9" customHeight="1">
      <c r="A9" s="505" t="s">
        <v>1255</v>
      </c>
      <c r="B9" s="377">
        <v>25</v>
      </c>
      <c r="C9" s="377">
        <v>1271</v>
      </c>
      <c r="D9" s="376">
        <v>239501</v>
      </c>
      <c r="E9" s="376">
        <v>933748</v>
      </c>
      <c r="F9" s="376">
        <v>4763</v>
      </c>
      <c r="G9" s="376">
        <v>43957</v>
      </c>
      <c r="H9" s="376">
        <v>1908</v>
      </c>
      <c r="I9" s="48">
        <v>329106</v>
      </c>
    </row>
    <row r="10" spans="1:15" ht="58.9" customHeight="1">
      <c r="A10" s="505" t="s">
        <v>1256</v>
      </c>
      <c r="B10" s="377">
        <v>25</v>
      </c>
      <c r="C10" s="377">
        <v>1343</v>
      </c>
      <c r="D10" s="376">
        <v>244415</v>
      </c>
      <c r="E10" s="376">
        <v>954841</v>
      </c>
      <c r="F10" s="376">
        <v>4869</v>
      </c>
      <c r="G10" s="376">
        <v>46330</v>
      </c>
      <c r="H10" s="376">
        <v>1294</v>
      </c>
      <c r="I10" s="48">
        <v>272315</v>
      </c>
    </row>
    <row r="11" spans="1:15" ht="58.9" customHeight="1">
      <c r="A11" s="505" t="s">
        <v>1257</v>
      </c>
      <c r="B11" s="377">
        <v>25</v>
      </c>
      <c r="C11" s="377">
        <v>1362</v>
      </c>
      <c r="D11" s="376">
        <v>250052</v>
      </c>
      <c r="E11" s="376">
        <v>1150357</v>
      </c>
      <c r="F11" s="376">
        <v>4606</v>
      </c>
      <c r="G11" s="376">
        <v>44093</v>
      </c>
      <c r="H11" s="376">
        <v>2043</v>
      </c>
      <c r="I11" s="48">
        <v>355804</v>
      </c>
    </row>
    <row r="12" spans="1:15" ht="58.9" customHeight="1">
      <c r="A12" s="505" t="s">
        <v>1258</v>
      </c>
      <c r="B12" s="17">
        <v>26</v>
      </c>
      <c r="C12" s="17">
        <v>1399</v>
      </c>
      <c r="D12" s="48">
        <v>251202</v>
      </c>
      <c r="E12" s="48">
        <v>1162138</v>
      </c>
      <c r="F12" s="48">
        <v>3981</v>
      </c>
      <c r="G12" s="48">
        <v>44690</v>
      </c>
      <c r="H12" s="48">
        <v>2095</v>
      </c>
      <c r="I12" s="48">
        <v>373228</v>
      </c>
    </row>
    <row r="13" spans="1:15" ht="58.9" customHeight="1">
      <c r="A13" s="505" t="s">
        <v>1259</v>
      </c>
      <c r="B13" s="377">
        <v>26</v>
      </c>
      <c r="C13" s="377">
        <v>1374</v>
      </c>
      <c r="D13" s="377">
        <v>254713</v>
      </c>
      <c r="E13" s="48">
        <v>1179121</v>
      </c>
      <c r="F13" s="48">
        <v>3685</v>
      </c>
      <c r="G13" s="48">
        <v>44527</v>
      </c>
      <c r="H13" s="48">
        <v>2252</v>
      </c>
      <c r="I13" s="48">
        <v>388412</v>
      </c>
      <c r="J13" s="46"/>
    </row>
    <row r="14" spans="1:15" ht="58.9" customHeight="1">
      <c r="A14" s="505" t="s">
        <v>1260</v>
      </c>
      <c r="B14" s="377">
        <v>27</v>
      </c>
      <c r="C14" s="377">
        <v>1350</v>
      </c>
      <c r="D14" s="377">
        <v>259050</v>
      </c>
      <c r="E14" s="48">
        <v>1209295</v>
      </c>
      <c r="F14" s="48">
        <v>3961</v>
      </c>
      <c r="G14" s="48">
        <v>44429</v>
      </c>
      <c r="H14" s="48">
        <v>2463</v>
      </c>
      <c r="I14" s="48">
        <v>447712</v>
      </c>
      <c r="J14" s="46"/>
    </row>
    <row r="15" spans="1:15" ht="58.9" customHeight="1">
      <c r="A15" s="505" t="s">
        <v>1261</v>
      </c>
      <c r="B15" s="377">
        <v>27</v>
      </c>
      <c r="C15" s="377">
        <v>1338</v>
      </c>
      <c r="D15" s="376">
        <v>267183</v>
      </c>
      <c r="E15" s="376">
        <v>1289424.648</v>
      </c>
      <c r="F15" s="376">
        <v>4539</v>
      </c>
      <c r="G15" s="376">
        <v>48172.321000000004</v>
      </c>
      <c r="H15" s="376">
        <v>2670</v>
      </c>
      <c r="I15" s="48">
        <v>469508.96799999999</v>
      </c>
    </row>
    <row r="16" spans="1:15" ht="58.9" customHeight="1">
      <c r="A16" s="505" t="s">
        <v>1262</v>
      </c>
      <c r="B16" s="377">
        <v>26</v>
      </c>
      <c r="C16" s="377">
        <v>1326</v>
      </c>
      <c r="D16" s="376">
        <v>271571</v>
      </c>
      <c r="E16" s="376">
        <v>1321902.1810000001</v>
      </c>
      <c r="F16" s="376">
        <v>5304</v>
      </c>
      <c r="G16" s="376">
        <v>54061.614999999998</v>
      </c>
      <c r="H16" s="376">
        <v>2946</v>
      </c>
      <c r="I16" s="48">
        <v>519420.84299999999</v>
      </c>
    </row>
    <row r="17" spans="1:9" ht="58.9" customHeight="1" thickBot="1">
      <c r="A17" s="507" t="s">
        <v>1234</v>
      </c>
      <c r="B17" s="378">
        <v>26</v>
      </c>
      <c r="C17" s="378">
        <v>1313</v>
      </c>
      <c r="D17" s="379">
        <v>277809</v>
      </c>
      <c r="E17" s="379">
        <f>1359698737/1000</f>
        <v>1359698.737</v>
      </c>
      <c r="F17" s="379">
        <v>4642</v>
      </c>
      <c r="G17" s="379">
        <f>49998551/1000</f>
        <v>49998.550999999999</v>
      </c>
      <c r="H17" s="379">
        <v>2635</v>
      </c>
      <c r="I17" s="343">
        <f>514971235/1000</f>
        <v>514971.23499999999</v>
      </c>
    </row>
    <row r="18" spans="1:9" s="448" customFormat="1" ht="15" customHeight="1">
      <c r="A18" s="428" t="s">
        <v>937</v>
      </c>
      <c r="B18" s="428"/>
      <c r="C18" s="428"/>
      <c r="D18" s="429" t="s">
        <v>206</v>
      </c>
      <c r="E18" s="260"/>
      <c r="F18" s="260"/>
      <c r="G18" s="260"/>
      <c r="H18" s="260"/>
      <c r="I18" s="260"/>
    </row>
    <row r="19" spans="1:9" s="448" customFormat="1"/>
    <row r="20" spans="1:9" s="448" customFormat="1"/>
    <row r="21" spans="1:9" s="448" customFormat="1"/>
    <row r="22" spans="1:9" s="448" customFormat="1"/>
    <row r="23" spans="1:9" s="448" customFormat="1"/>
    <row r="24" spans="1:9" s="448" customFormat="1"/>
    <row r="25" spans="1:9" s="448" customFormat="1"/>
    <row r="26" spans="1:9" s="448" customFormat="1"/>
    <row r="27" spans="1:9" s="448" customFormat="1"/>
    <row r="28" spans="1:9" s="448" customFormat="1"/>
    <row r="29" spans="1:9" s="448" customFormat="1"/>
    <row r="30" spans="1:9" s="448" customFormat="1"/>
    <row r="31" spans="1:9" s="448" customFormat="1"/>
    <row r="32" spans="1:9" s="448" customFormat="1"/>
    <row r="33" s="448" customFormat="1"/>
    <row r="34" s="448" customFormat="1"/>
    <row r="35" s="448" customFormat="1"/>
    <row r="36" s="448" customFormat="1"/>
    <row r="37" s="448" customFormat="1"/>
    <row r="38" s="448" customFormat="1"/>
    <row r="39" s="448" customFormat="1"/>
    <row r="40" s="448" customFormat="1"/>
    <row r="41" s="448" customFormat="1"/>
    <row r="42" s="448" customFormat="1"/>
    <row r="43" s="448" customFormat="1"/>
  </sheetData>
  <mergeCells count="12">
    <mergeCell ref="A6:A7"/>
    <mergeCell ref="A2:C2"/>
    <mergeCell ref="D2:I2"/>
    <mergeCell ref="A4:A5"/>
    <mergeCell ref="B4:C4"/>
    <mergeCell ref="D4:E4"/>
    <mergeCell ref="F4:G4"/>
    <mergeCell ref="H4:I4"/>
    <mergeCell ref="B5:C5"/>
    <mergeCell ref="D5:E5"/>
    <mergeCell ref="F5:G5"/>
    <mergeCell ref="H5:I5"/>
  </mergeCells>
  <phoneticPr fontId="6" type="noConversion"/>
  <printOptions horizontalCentered="1"/>
  <pageMargins left="0.6692913385826772" right="0.6692913385826772" top="0.6692913385826772" bottom="0.6692913385826772" header="0.27559055118110237" footer="0.27559055118110237"/>
  <pageSetup paperSize="9" firstPageNumber="352" orientation="portrait" useFirstPageNumber="1" r:id="rId1"/>
  <headerFooter alignWithMargins="0"/>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工作表12"/>
  <dimension ref="A1:AA37"/>
  <sheetViews>
    <sheetView showGridLines="0" view="pageBreakPreview" zoomScale="90" zoomScaleNormal="70" zoomScaleSheetLayoutView="90" workbookViewId="0">
      <pane xSplit="1" ySplit="9" topLeftCell="B16" activePane="bottomRight" state="frozen"/>
      <selection activeCell="P19" sqref="P19"/>
      <selection pane="topRight" activeCell="P19" sqref="P19"/>
      <selection pane="bottomLeft" activeCell="P19" sqref="P19"/>
      <selection pane="bottomRight" activeCell="AB36" sqref="AB36"/>
    </sheetView>
  </sheetViews>
  <sheetFormatPr defaultRowHeight="12.75"/>
  <cols>
    <col min="1" max="1" width="10.625" style="452" customWidth="1"/>
    <col min="2" max="2" width="10.625" style="8" customWidth="1"/>
    <col min="3" max="3" width="16.125" style="8" customWidth="1"/>
    <col min="4" max="4" width="10.625" style="8" customWidth="1"/>
    <col min="5" max="5" width="15.625" style="8" customWidth="1"/>
    <col min="6" max="7" width="11.75" style="8" customWidth="1"/>
    <col min="8" max="16" width="9.75" style="8" customWidth="1"/>
    <col min="17" max="18" width="9" style="8" hidden="1" customWidth="1"/>
    <col min="19" max="19" width="8.125" style="8" hidden="1" customWidth="1"/>
    <col min="20" max="21" width="8.75" style="8" hidden="1" customWidth="1"/>
    <col min="22" max="22" width="10.125" style="8" hidden="1" customWidth="1"/>
    <col min="23" max="23" width="8.125" style="8" hidden="1" customWidth="1"/>
    <col min="24" max="24" width="10.75" style="8" hidden="1" customWidth="1"/>
    <col min="25" max="25" width="10" style="8" hidden="1" customWidth="1"/>
    <col min="26" max="26" width="11.5" style="8" hidden="1" customWidth="1"/>
    <col min="27" max="27" width="9" style="8" hidden="1" customWidth="1"/>
    <col min="28" max="16384" width="9" style="8"/>
  </cols>
  <sheetData>
    <row r="1" spans="1:27" s="452" customFormat="1" ht="18" customHeight="1">
      <c r="A1" s="90" t="s">
        <v>934</v>
      </c>
      <c r="P1" s="459" t="s">
        <v>0</v>
      </c>
    </row>
    <row r="2" spans="1:27" s="452" customFormat="1" ht="24.95" customHeight="1">
      <c r="A2" s="767" t="s">
        <v>1010</v>
      </c>
      <c r="B2" s="767"/>
      <c r="C2" s="767"/>
      <c r="D2" s="767"/>
      <c r="E2" s="767"/>
      <c r="F2" s="767"/>
      <c r="G2" s="767"/>
      <c r="H2" s="716" t="s">
        <v>207</v>
      </c>
      <c r="I2" s="716"/>
      <c r="J2" s="716"/>
      <c r="K2" s="716"/>
      <c r="L2" s="716"/>
      <c r="M2" s="716"/>
      <c r="N2" s="716"/>
      <c r="O2" s="716"/>
      <c r="P2" s="716"/>
    </row>
    <row r="3" spans="1:27" s="452" customFormat="1" ht="15" customHeight="1" thickBot="1">
      <c r="A3" s="91"/>
      <c r="B3" s="91"/>
      <c r="C3" s="91"/>
      <c r="D3" s="91"/>
      <c r="F3" s="91"/>
      <c r="G3" s="471" t="s">
        <v>1011</v>
      </c>
      <c r="H3" s="768"/>
      <c r="I3" s="768"/>
      <c r="K3" s="459"/>
      <c r="P3" s="459" t="s">
        <v>208</v>
      </c>
    </row>
    <row r="4" spans="1:27" s="452" customFormat="1" ht="20.100000000000001" customHeight="1">
      <c r="A4" s="718" t="s">
        <v>626</v>
      </c>
      <c r="B4" s="720" t="s">
        <v>627</v>
      </c>
      <c r="C4" s="769"/>
      <c r="D4" s="769"/>
      <c r="E4" s="770"/>
      <c r="F4" s="735" t="s">
        <v>638</v>
      </c>
      <c r="G4" s="770"/>
      <c r="H4" s="721" t="s">
        <v>1004</v>
      </c>
      <c r="I4" s="770"/>
      <c r="J4" s="735" t="s">
        <v>639</v>
      </c>
      <c r="K4" s="769"/>
      <c r="L4" s="771" t="s">
        <v>1012</v>
      </c>
      <c r="M4" s="771"/>
      <c r="N4" s="771"/>
      <c r="O4" s="771" t="s">
        <v>640</v>
      </c>
      <c r="P4" s="771"/>
      <c r="U4" s="764" t="s">
        <v>641</v>
      </c>
      <c r="V4" s="764"/>
      <c r="W4" s="764" t="s">
        <v>642</v>
      </c>
      <c r="X4" s="764"/>
      <c r="Y4" s="764" t="s">
        <v>643</v>
      </c>
      <c r="Z4" s="764"/>
    </row>
    <row r="5" spans="1:27" s="452" customFormat="1" ht="20.100000000000001" customHeight="1">
      <c r="A5" s="719"/>
      <c r="B5" s="765" t="s">
        <v>209</v>
      </c>
      <c r="C5" s="730"/>
      <c r="D5" s="730"/>
      <c r="E5" s="731"/>
      <c r="F5" s="727" t="s">
        <v>210</v>
      </c>
      <c r="G5" s="731"/>
      <c r="H5" s="730" t="s">
        <v>211</v>
      </c>
      <c r="I5" s="731"/>
      <c r="J5" s="727" t="s">
        <v>212</v>
      </c>
      <c r="K5" s="730"/>
      <c r="L5" s="766" t="s">
        <v>213</v>
      </c>
      <c r="M5" s="766"/>
      <c r="N5" s="766"/>
      <c r="O5" s="766" t="s">
        <v>214</v>
      </c>
      <c r="P5" s="766"/>
      <c r="U5" s="755"/>
      <c r="V5" s="755"/>
      <c r="W5" s="755"/>
      <c r="X5" s="755"/>
      <c r="Y5" s="755"/>
      <c r="Z5" s="755"/>
    </row>
    <row r="6" spans="1:27" s="452" customFormat="1" ht="30" customHeight="1">
      <c r="A6" s="719"/>
      <c r="B6" s="740" t="s">
        <v>631</v>
      </c>
      <c r="C6" s="467"/>
      <c r="D6" s="736" t="s">
        <v>621</v>
      </c>
      <c r="E6" s="468"/>
      <c r="F6" s="723" t="s">
        <v>631</v>
      </c>
      <c r="G6" s="723" t="s">
        <v>621</v>
      </c>
      <c r="H6" s="725" t="s">
        <v>631</v>
      </c>
      <c r="I6" s="723" t="s">
        <v>621</v>
      </c>
      <c r="J6" s="723" t="s">
        <v>631</v>
      </c>
      <c r="K6" s="739" t="s">
        <v>621</v>
      </c>
      <c r="L6" s="724" t="s">
        <v>525</v>
      </c>
      <c r="M6" s="724" t="s">
        <v>637</v>
      </c>
      <c r="N6" s="724" t="s">
        <v>526</v>
      </c>
      <c r="O6" s="724" t="s">
        <v>525</v>
      </c>
      <c r="P6" s="724" t="s">
        <v>526</v>
      </c>
      <c r="U6" s="755"/>
      <c r="V6" s="755"/>
      <c r="W6" s="755"/>
      <c r="X6" s="755"/>
      <c r="Y6" s="755"/>
      <c r="Z6" s="755"/>
      <c r="AA6" s="452" t="s">
        <v>215</v>
      </c>
    </row>
    <row r="7" spans="1:27" s="452" customFormat="1" ht="27" customHeight="1">
      <c r="A7" s="719" t="s">
        <v>216</v>
      </c>
      <c r="B7" s="740"/>
      <c r="C7" s="456" t="s">
        <v>644</v>
      </c>
      <c r="D7" s="736"/>
      <c r="E7" s="453" t="s">
        <v>645</v>
      </c>
      <c r="F7" s="756"/>
      <c r="G7" s="756"/>
      <c r="H7" s="742"/>
      <c r="I7" s="756"/>
      <c r="J7" s="756"/>
      <c r="K7" s="736"/>
      <c r="L7" s="758"/>
      <c r="M7" s="758"/>
      <c r="N7" s="758"/>
      <c r="O7" s="758"/>
      <c r="P7" s="758"/>
      <c r="U7" s="487" t="s">
        <v>646</v>
      </c>
      <c r="V7" s="487" t="s">
        <v>647</v>
      </c>
      <c r="W7" s="487" t="s">
        <v>648</v>
      </c>
      <c r="X7" s="487" t="s">
        <v>647</v>
      </c>
      <c r="Y7" s="487" t="s">
        <v>646</v>
      </c>
      <c r="Z7" s="487" t="s">
        <v>647</v>
      </c>
    </row>
    <row r="8" spans="1:27" s="452" customFormat="1" ht="20.100000000000001" customHeight="1">
      <c r="A8" s="719"/>
      <c r="B8" s="760" t="s">
        <v>217</v>
      </c>
      <c r="C8" s="756" t="s">
        <v>218</v>
      </c>
      <c r="D8" s="756" t="s">
        <v>219</v>
      </c>
      <c r="E8" s="756" t="s">
        <v>220</v>
      </c>
      <c r="F8" s="756" t="s">
        <v>217</v>
      </c>
      <c r="G8" s="756" t="s">
        <v>219</v>
      </c>
      <c r="H8" s="742" t="s">
        <v>217</v>
      </c>
      <c r="I8" s="756" t="s">
        <v>219</v>
      </c>
      <c r="J8" s="756" t="s">
        <v>217</v>
      </c>
      <c r="K8" s="736" t="s">
        <v>219</v>
      </c>
      <c r="L8" s="756" t="s">
        <v>221</v>
      </c>
      <c r="M8" s="756" t="s">
        <v>222</v>
      </c>
      <c r="N8" s="758" t="s">
        <v>205</v>
      </c>
      <c r="O8" s="756" t="s">
        <v>221</v>
      </c>
      <c r="P8" s="758" t="s">
        <v>205</v>
      </c>
      <c r="U8" s="755" t="s">
        <v>223</v>
      </c>
      <c r="V8" s="755" t="s">
        <v>224</v>
      </c>
      <c r="W8" s="755" t="s">
        <v>225</v>
      </c>
      <c r="X8" s="755" t="s">
        <v>226</v>
      </c>
      <c r="Y8" s="755" t="s">
        <v>223</v>
      </c>
      <c r="Z8" s="755" t="s">
        <v>224</v>
      </c>
    </row>
    <row r="9" spans="1:27" s="452" customFormat="1" ht="20.100000000000001" customHeight="1" thickBot="1">
      <c r="A9" s="726"/>
      <c r="B9" s="761"/>
      <c r="C9" s="757"/>
      <c r="D9" s="757"/>
      <c r="E9" s="757"/>
      <c r="F9" s="757"/>
      <c r="G9" s="757"/>
      <c r="H9" s="762"/>
      <c r="I9" s="757"/>
      <c r="J9" s="757"/>
      <c r="K9" s="763"/>
      <c r="L9" s="757"/>
      <c r="M9" s="757"/>
      <c r="N9" s="759"/>
      <c r="O9" s="757"/>
      <c r="P9" s="759"/>
      <c r="S9" s="452" t="s">
        <v>636</v>
      </c>
      <c r="T9" s="452" t="s">
        <v>635</v>
      </c>
      <c r="U9" s="755"/>
      <c r="V9" s="755"/>
      <c r="W9" s="755"/>
      <c r="X9" s="755"/>
      <c r="Y9" s="755"/>
      <c r="Z9" s="755"/>
    </row>
    <row r="10" spans="1:27" s="46" customFormat="1" ht="47.65" customHeight="1">
      <c r="A10" s="505" t="s">
        <v>467</v>
      </c>
      <c r="B10" s="47">
        <v>4598</v>
      </c>
      <c r="C10" s="63">
        <v>0.70294417112822694</v>
      </c>
      <c r="D10" s="48">
        <v>12224</v>
      </c>
      <c r="E10" s="63">
        <v>0.61775374952875051</v>
      </c>
      <c r="F10" s="52">
        <v>72</v>
      </c>
      <c r="G10" s="52">
        <v>79</v>
      </c>
      <c r="H10" s="52">
        <v>767</v>
      </c>
      <c r="I10" s="52">
        <v>2000</v>
      </c>
      <c r="J10" s="52">
        <v>3759</v>
      </c>
      <c r="K10" s="52">
        <v>10145</v>
      </c>
      <c r="L10" s="52">
        <v>50387</v>
      </c>
      <c r="M10" s="52">
        <v>8125</v>
      </c>
      <c r="N10" s="52">
        <v>158603.65400000001</v>
      </c>
      <c r="O10" s="52">
        <v>15293</v>
      </c>
      <c r="P10" s="52">
        <v>76518</v>
      </c>
      <c r="Q10" s="252">
        <f t="shared" ref="Q10:Q16" si="0">F10+H10+J10</f>
        <v>4598</v>
      </c>
      <c r="R10" s="252">
        <f t="shared" ref="R10:R16" si="1">G10+I10+K10</f>
        <v>12224</v>
      </c>
      <c r="S10" s="60">
        <v>654106</v>
      </c>
      <c r="T10" s="60">
        <v>1978782</v>
      </c>
      <c r="U10" s="60">
        <v>926</v>
      </c>
      <c r="V10" s="60">
        <v>9092254</v>
      </c>
      <c r="W10" s="60">
        <v>8125</v>
      </c>
      <c r="X10" s="60">
        <v>40645000</v>
      </c>
      <c r="Y10" s="60">
        <v>49461</v>
      </c>
      <c r="Z10" s="60">
        <v>108866400</v>
      </c>
    </row>
    <row r="11" spans="1:27" s="31" customFormat="1" ht="47.65" customHeight="1">
      <c r="A11" s="505" t="s">
        <v>468</v>
      </c>
      <c r="B11" s="47">
        <v>4964</v>
      </c>
      <c r="C11" s="63">
        <v>0.73707045674907978</v>
      </c>
      <c r="D11" s="48">
        <v>13568</v>
      </c>
      <c r="E11" s="63">
        <v>0.67770196697401675</v>
      </c>
      <c r="F11" s="66">
        <v>73</v>
      </c>
      <c r="G11" s="52">
        <v>77</v>
      </c>
      <c r="H11" s="52">
        <v>729</v>
      </c>
      <c r="I11" s="52">
        <v>1778</v>
      </c>
      <c r="J11" s="66">
        <v>4162</v>
      </c>
      <c r="K11" s="52">
        <v>11713</v>
      </c>
      <c r="L11" s="52">
        <v>61881</v>
      </c>
      <c r="M11" s="52">
        <v>8313</v>
      </c>
      <c r="N11" s="52">
        <v>184248.88200000001</v>
      </c>
      <c r="O11" s="52">
        <v>21892</v>
      </c>
      <c r="P11" s="52">
        <v>109460</v>
      </c>
      <c r="Q11" s="252">
        <f t="shared" si="0"/>
        <v>4964</v>
      </c>
      <c r="R11" s="252">
        <f t="shared" si="1"/>
        <v>13568</v>
      </c>
      <c r="S11" s="60">
        <v>673477</v>
      </c>
      <c r="T11" s="60">
        <v>2002060</v>
      </c>
      <c r="U11" s="60">
        <v>858</v>
      </c>
      <c r="V11" s="60">
        <v>8433282</v>
      </c>
      <c r="W11" s="60">
        <v>8313</v>
      </c>
      <c r="X11" s="60">
        <v>41565000</v>
      </c>
      <c r="Y11" s="60">
        <v>61023</v>
      </c>
      <c r="Z11" s="60">
        <v>134250600</v>
      </c>
    </row>
    <row r="12" spans="1:27" s="31" customFormat="1" ht="47.65" customHeight="1">
      <c r="A12" s="505" t="s">
        <v>469</v>
      </c>
      <c r="B12" s="47">
        <v>5104</v>
      </c>
      <c r="C12" s="63">
        <v>0.74372735048588534</v>
      </c>
      <c r="D12" s="48">
        <v>13676</v>
      </c>
      <c r="E12" s="63">
        <v>0.67928108259801667</v>
      </c>
      <c r="F12" s="66">
        <v>65</v>
      </c>
      <c r="G12" s="52">
        <v>68</v>
      </c>
      <c r="H12" s="52">
        <v>701</v>
      </c>
      <c r="I12" s="52">
        <v>1615</v>
      </c>
      <c r="J12" s="66">
        <v>4338</v>
      </c>
      <c r="K12" s="52">
        <v>11993</v>
      </c>
      <c r="L12" s="52">
        <v>61024</v>
      </c>
      <c r="M12" s="52">
        <v>8081</v>
      </c>
      <c r="N12" s="52">
        <v>181031.15400000001</v>
      </c>
      <c r="O12" s="52">
        <v>25786</v>
      </c>
      <c r="P12" s="52">
        <v>129014</v>
      </c>
      <c r="Q12" s="252">
        <f t="shared" si="0"/>
        <v>5104</v>
      </c>
      <c r="R12" s="252">
        <f t="shared" si="1"/>
        <v>13676</v>
      </c>
      <c r="S12" s="60">
        <v>686273</v>
      </c>
      <c r="T12" s="60">
        <v>2013305</v>
      </c>
      <c r="U12" s="60">
        <v>826</v>
      </c>
      <c r="V12" s="60">
        <v>8118754</v>
      </c>
      <c r="W12" s="60">
        <v>8081</v>
      </c>
      <c r="X12" s="60">
        <v>40410000</v>
      </c>
      <c r="Y12" s="60">
        <v>60198</v>
      </c>
      <c r="Z12" s="60">
        <v>132502400</v>
      </c>
    </row>
    <row r="13" spans="1:27" s="31" customFormat="1" ht="47.65" customHeight="1">
      <c r="A13" s="505" t="s">
        <v>470</v>
      </c>
      <c r="B13" s="47">
        <v>5643</v>
      </c>
      <c r="C13" s="63">
        <v>0.80404430151590067</v>
      </c>
      <c r="D13" s="48">
        <v>15185</v>
      </c>
      <c r="E13" s="63">
        <v>0.74797023487299774</v>
      </c>
      <c r="F13" s="66">
        <v>53</v>
      </c>
      <c r="G13" s="52">
        <v>54</v>
      </c>
      <c r="H13" s="52">
        <v>692</v>
      </c>
      <c r="I13" s="52">
        <v>1519</v>
      </c>
      <c r="J13" s="66">
        <v>4898</v>
      </c>
      <c r="K13" s="52">
        <v>13612</v>
      </c>
      <c r="L13" s="52">
        <v>61334</v>
      </c>
      <c r="M13" s="52">
        <v>7896</v>
      </c>
      <c r="N13" s="52">
        <v>211401.22399999999</v>
      </c>
      <c r="O13" s="52">
        <v>30897</v>
      </c>
      <c r="P13" s="52">
        <v>182336</v>
      </c>
      <c r="Q13" s="252">
        <f t="shared" si="0"/>
        <v>5643</v>
      </c>
      <c r="R13" s="252">
        <f t="shared" si="1"/>
        <v>15185</v>
      </c>
      <c r="S13" s="60">
        <v>701827</v>
      </c>
      <c r="T13" s="60">
        <v>2030161</v>
      </c>
      <c r="U13" s="60">
        <v>696</v>
      </c>
      <c r="V13" s="60">
        <v>7129824</v>
      </c>
      <c r="W13" s="60">
        <v>7896</v>
      </c>
      <c r="X13" s="60">
        <v>46599600</v>
      </c>
      <c r="Y13" s="60">
        <v>60638</v>
      </c>
      <c r="Z13" s="60">
        <v>157671800</v>
      </c>
    </row>
    <row r="14" spans="1:27" s="31" customFormat="1" ht="47.65" customHeight="1">
      <c r="A14" s="505" t="s">
        <v>471</v>
      </c>
      <c r="B14" s="47">
        <v>5858</v>
      </c>
      <c r="C14" s="63">
        <v>0.8174919269532307</v>
      </c>
      <c r="D14" s="48">
        <v>15568</v>
      </c>
      <c r="E14" s="63">
        <v>0.76163526535660309</v>
      </c>
      <c r="F14" s="66">
        <v>52</v>
      </c>
      <c r="G14" s="52">
        <v>55</v>
      </c>
      <c r="H14" s="52">
        <v>713</v>
      </c>
      <c r="I14" s="52">
        <v>1563</v>
      </c>
      <c r="J14" s="66">
        <v>5093</v>
      </c>
      <c r="K14" s="52">
        <v>13950</v>
      </c>
      <c r="L14" s="52">
        <v>78556</v>
      </c>
      <c r="M14" s="52">
        <v>9907</v>
      </c>
      <c r="N14" s="52">
        <v>268712.728</v>
      </c>
      <c r="O14" s="52">
        <v>40261</v>
      </c>
      <c r="P14" s="52">
        <v>237540</v>
      </c>
      <c r="Q14" s="252">
        <f t="shared" si="0"/>
        <v>5858</v>
      </c>
      <c r="R14" s="252">
        <f t="shared" si="1"/>
        <v>15568</v>
      </c>
      <c r="S14" s="60">
        <v>716582</v>
      </c>
      <c r="T14" s="60">
        <v>2044023</v>
      </c>
      <c r="U14" s="60">
        <v>787</v>
      </c>
      <c r="V14" s="60">
        <v>8062028</v>
      </c>
      <c r="W14" s="60">
        <v>9907</v>
      </c>
      <c r="X14" s="60">
        <v>58451300</v>
      </c>
      <c r="Y14" s="60">
        <v>77769</v>
      </c>
      <c r="Z14" s="60">
        <v>202199400</v>
      </c>
    </row>
    <row r="15" spans="1:27" s="46" customFormat="1" ht="47.65" customHeight="1">
      <c r="A15" s="505" t="s">
        <v>472</v>
      </c>
      <c r="B15" s="47">
        <v>6213</v>
      </c>
      <c r="C15" s="63">
        <v>0.84760792574119637</v>
      </c>
      <c r="D15" s="48">
        <v>17361</v>
      </c>
      <c r="E15" s="63">
        <v>0.84345157817412963</v>
      </c>
      <c r="F15" s="66">
        <v>43</v>
      </c>
      <c r="G15" s="52">
        <v>46</v>
      </c>
      <c r="H15" s="52">
        <v>759</v>
      </c>
      <c r="I15" s="52">
        <v>1611</v>
      </c>
      <c r="J15" s="66">
        <v>5411</v>
      </c>
      <c r="K15" s="52">
        <v>15704</v>
      </c>
      <c r="L15" s="52">
        <v>65103</v>
      </c>
      <c r="M15" s="52">
        <v>8698</v>
      </c>
      <c r="N15" s="52">
        <v>224736.69200000001</v>
      </c>
      <c r="O15" s="52">
        <v>33202</v>
      </c>
      <c r="P15" s="52">
        <v>195892</v>
      </c>
      <c r="Q15" s="252">
        <f t="shared" si="0"/>
        <v>6213</v>
      </c>
      <c r="R15" s="252">
        <f t="shared" si="1"/>
        <v>17361</v>
      </c>
      <c r="S15" s="60">
        <v>733004</v>
      </c>
      <c r="T15" s="60">
        <v>2058328</v>
      </c>
      <c r="U15" s="60">
        <v>543</v>
      </c>
      <c r="V15" s="60">
        <v>5562492</v>
      </c>
      <c r="W15" s="60">
        <v>8698</v>
      </c>
      <c r="X15" s="60">
        <v>51318200</v>
      </c>
      <c r="Y15" s="60">
        <v>64560</v>
      </c>
      <c r="Z15" s="60">
        <v>167856000</v>
      </c>
    </row>
    <row r="16" spans="1:27" s="31" customFormat="1" ht="47.65" customHeight="1">
      <c r="A16" s="160" t="s">
        <v>473</v>
      </c>
      <c r="B16" s="47">
        <v>6927</v>
      </c>
      <c r="C16" s="63">
        <v>0.92298344705736579</v>
      </c>
      <c r="D16" s="48">
        <v>17963</v>
      </c>
      <c r="E16" s="63">
        <v>0.85303308037876691</v>
      </c>
      <c r="F16" s="66">
        <v>41</v>
      </c>
      <c r="G16" s="52">
        <v>44</v>
      </c>
      <c r="H16" s="52">
        <v>922</v>
      </c>
      <c r="I16" s="52">
        <v>1900</v>
      </c>
      <c r="J16" s="66">
        <v>5964</v>
      </c>
      <c r="K16" s="52">
        <v>16019</v>
      </c>
      <c r="L16" s="52">
        <v>73460</v>
      </c>
      <c r="M16" s="52">
        <v>10394</v>
      </c>
      <c r="N16" s="52">
        <v>256249.61600000001</v>
      </c>
      <c r="O16" s="52">
        <v>37183</v>
      </c>
      <c r="P16" s="52">
        <v>219379.7</v>
      </c>
      <c r="Q16" s="252">
        <f t="shared" si="0"/>
        <v>6927</v>
      </c>
      <c r="R16" s="252">
        <f t="shared" si="1"/>
        <v>17963</v>
      </c>
      <c r="S16" s="60">
        <v>750501</v>
      </c>
      <c r="T16" s="60">
        <v>2105780</v>
      </c>
      <c r="U16" s="60">
        <v>514</v>
      </c>
      <c r="V16" s="60">
        <v>5265416</v>
      </c>
      <c r="W16" s="60">
        <v>10394</v>
      </c>
      <c r="X16" s="60">
        <v>61324600</v>
      </c>
      <c r="Y16" s="60">
        <v>72946</v>
      </c>
      <c r="Z16" s="60">
        <v>189659600</v>
      </c>
    </row>
    <row r="17" spans="1:26" s="11" customFormat="1" ht="47.65" customHeight="1">
      <c r="A17" s="118" t="s">
        <v>749</v>
      </c>
      <c r="B17" s="29">
        <v>7690</v>
      </c>
      <c r="C17" s="61">
        <v>0.99754311228262249</v>
      </c>
      <c r="D17" s="24">
        <v>19927</v>
      </c>
      <c r="E17" s="61">
        <v>0.92780255549611379</v>
      </c>
      <c r="F17" s="50">
        <v>45</v>
      </c>
      <c r="G17" s="50">
        <v>49</v>
      </c>
      <c r="H17" s="50">
        <v>1069</v>
      </c>
      <c r="I17" s="50">
        <v>2192</v>
      </c>
      <c r="J17" s="50">
        <v>6576</v>
      </c>
      <c r="K17" s="50">
        <v>17686</v>
      </c>
      <c r="L17" s="50">
        <v>76727</v>
      </c>
      <c r="M17" s="50">
        <v>12046</v>
      </c>
      <c r="N17" s="50">
        <v>284505.054</v>
      </c>
      <c r="O17" s="50">
        <v>40294</v>
      </c>
      <c r="P17" s="50">
        <v>246397.81</v>
      </c>
      <c r="Q17" s="81">
        <f t="shared" ref="Q17:R19" si="2">F17+H17+J17</f>
        <v>7690</v>
      </c>
      <c r="R17" s="81">
        <f t="shared" si="2"/>
        <v>19927</v>
      </c>
      <c r="S17" s="60">
        <v>770894</v>
      </c>
      <c r="T17" s="60">
        <v>2147763</v>
      </c>
      <c r="U17" s="60">
        <v>513</v>
      </c>
      <c r="V17" s="60">
        <v>5447034</v>
      </c>
      <c r="W17" s="60">
        <v>12046</v>
      </c>
      <c r="X17" s="60">
        <v>73661290</v>
      </c>
      <c r="Y17" s="60">
        <v>76214</v>
      </c>
      <c r="Z17" s="60">
        <v>205396730</v>
      </c>
    </row>
    <row r="18" spans="1:26" s="11" customFormat="1" ht="47.65" customHeight="1">
      <c r="A18" s="118" t="s">
        <v>1042</v>
      </c>
      <c r="B18" s="29">
        <v>8224</v>
      </c>
      <c r="C18" s="63">
        <v>1.0405174246181566</v>
      </c>
      <c r="D18" s="24">
        <v>20856</v>
      </c>
      <c r="E18" s="63">
        <v>0.95319186276889079</v>
      </c>
      <c r="F18" s="52">
        <v>39</v>
      </c>
      <c r="G18" s="50">
        <v>42</v>
      </c>
      <c r="H18" s="50">
        <v>1126</v>
      </c>
      <c r="I18" s="50">
        <v>2242</v>
      </c>
      <c r="J18" s="50">
        <v>7059</v>
      </c>
      <c r="K18" s="52">
        <v>18572</v>
      </c>
      <c r="L18" s="52">
        <v>79714</v>
      </c>
      <c r="M18" s="52">
        <v>12905</v>
      </c>
      <c r="N18" s="50">
        <v>297482.96100000001</v>
      </c>
      <c r="O18" s="52">
        <v>40692</v>
      </c>
      <c r="P18" s="52">
        <v>248831.58</v>
      </c>
      <c r="Q18" s="81">
        <f t="shared" si="2"/>
        <v>8224</v>
      </c>
      <c r="R18" s="81">
        <f t="shared" si="2"/>
        <v>20856</v>
      </c>
      <c r="S18" s="60">
        <v>790376</v>
      </c>
      <c r="T18" s="60">
        <v>2188017</v>
      </c>
      <c r="U18" s="60">
        <v>472</v>
      </c>
      <c r="V18" s="60">
        <v>5011696</v>
      </c>
      <c r="W18" s="60">
        <v>12905</v>
      </c>
      <c r="X18" s="60">
        <v>78914075</v>
      </c>
      <c r="Y18" s="60">
        <v>79242</v>
      </c>
      <c r="Z18" s="60">
        <v>213557190</v>
      </c>
    </row>
    <row r="19" spans="1:26" s="11" customFormat="1" ht="47.65" customHeight="1" thickBot="1">
      <c r="A19" s="507" t="s">
        <v>1235</v>
      </c>
      <c r="B19" s="344">
        <f t="shared" ref="B19" si="3">F19+H19+J19</f>
        <v>8754</v>
      </c>
      <c r="C19" s="345">
        <f>B19/S19*100</f>
        <v>1.0841256218489581</v>
      </c>
      <c r="D19" s="343">
        <f t="shared" ref="D19" si="4">G19+I19+K19</f>
        <v>21676</v>
      </c>
      <c r="E19" s="345">
        <f>D19/T19*100</f>
        <v>0.97601302551430258</v>
      </c>
      <c r="F19" s="346">
        <v>41</v>
      </c>
      <c r="G19" s="346">
        <v>43</v>
      </c>
      <c r="H19" s="343">
        <v>1097</v>
      </c>
      <c r="I19" s="343">
        <v>2115</v>
      </c>
      <c r="J19" s="343">
        <v>7616</v>
      </c>
      <c r="K19" s="343">
        <v>19518</v>
      </c>
      <c r="L19" s="346">
        <f>SUM(U19,Y19)</f>
        <v>82284</v>
      </c>
      <c r="M19" s="346">
        <f>W19</f>
        <v>12683</v>
      </c>
      <c r="N19" s="346">
        <f>SUM(V19,X19,Z19)/1000</f>
        <v>303265.50199999998</v>
      </c>
      <c r="O19" s="346">
        <f>10138+10313+8197+11641</f>
        <v>40289</v>
      </c>
      <c r="P19" s="346">
        <f>(61993870+63063995+50124655+71184715)/1000</f>
        <v>246367.23499999999</v>
      </c>
      <c r="Q19" s="81">
        <f t="shared" si="2"/>
        <v>8754</v>
      </c>
      <c r="R19" s="81">
        <f t="shared" si="2"/>
        <v>21676</v>
      </c>
      <c r="S19" s="60">
        <v>807471</v>
      </c>
      <c r="T19" s="60">
        <v>2220872</v>
      </c>
      <c r="U19" s="60">
        <v>499</v>
      </c>
      <c r="V19" s="60">
        <v>5298382</v>
      </c>
      <c r="W19" s="60">
        <v>12683</v>
      </c>
      <c r="X19" s="60">
        <v>77556545</v>
      </c>
      <c r="Y19" s="60">
        <v>81785</v>
      </c>
      <c r="Z19" s="60">
        <v>220410575</v>
      </c>
    </row>
    <row r="20" spans="1:26" s="452" customFormat="1" ht="14.45" customHeight="1">
      <c r="A20" s="97" t="s">
        <v>937</v>
      </c>
      <c r="H20" s="429" t="s">
        <v>751</v>
      </c>
    </row>
    <row r="21" spans="1:26" s="452" customFormat="1" ht="14.45" customHeight="1">
      <c r="A21" s="97" t="s">
        <v>1013</v>
      </c>
      <c r="E21" s="467"/>
      <c r="F21" s="467"/>
      <c r="G21" s="467"/>
      <c r="H21" s="158" t="s">
        <v>752</v>
      </c>
      <c r="I21" s="467"/>
      <c r="J21" s="467"/>
      <c r="K21" s="467"/>
      <c r="L21" s="467"/>
      <c r="M21" s="467"/>
      <c r="Q21" s="253"/>
      <c r="U21" s="60"/>
      <c r="V21" s="60"/>
      <c r="W21" s="60"/>
      <c r="X21" s="60"/>
      <c r="Y21" s="60"/>
      <c r="Z21" s="60"/>
    </row>
    <row r="22" spans="1:26" s="452" customFormat="1" ht="14.45" customHeight="1">
      <c r="A22" s="97" t="s">
        <v>1014</v>
      </c>
      <c r="B22" s="140"/>
      <c r="C22" s="140"/>
      <c r="D22" s="140"/>
      <c r="E22" s="169"/>
      <c r="F22" s="467"/>
      <c r="G22" s="169"/>
      <c r="H22" s="158" t="s">
        <v>753</v>
      </c>
      <c r="I22" s="169"/>
      <c r="J22" s="169"/>
      <c r="K22" s="169"/>
      <c r="L22" s="467"/>
      <c r="M22" s="467"/>
    </row>
    <row r="23" spans="1:26" s="452" customFormat="1" ht="14.45" customHeight="1">
      <c r="A23" s="97" t="s">
        <v>1015</v>
      </c>
      <c r="B23" s="140"/>
      <c r="C23" s="140"/>
      <c r="D23" s="140"/>
      <c r="E23" s="140"/>
      <c r="G23" s="140"/>
      <c r="H23" s="100" t="s">
        <v>754</v>
      </c>
      <c r="I23" s="140"/>
      <c r="J23" s="140"/>
      <c r="K23" s="140"/>
    </row>
    <row r="24" spans="1:26" s="452" customFormat="1" ht="14.45" customHeight="1">
      <c r="A24" s="97" t="s">
        <v>1016</v>
      </c>
      <c r="H24" s="100" t="s">
        <v>755</v>
      </c>
    </row>
    <row r="25" spans="1:26" s="452" customFormat="1" ht="14.45" customHeight="1">
      <c r="A25" s="97" t="s">
        <v>1017</v>
      </c>
      <c r="H25" s="100" t="s">
        <v>756</v>
      </c>
    </row>
    <row r="26" spans="1:26" s="452" customFormat="1" ht="14.45" customHeight="1">
      <c r="H26" s="100" t="s">
        <v>757</v>
      </c>
    </row>
    <row r="27" spans="1:26" s="452" customFormat="1"/>
    <row r="28" spans="1:26" s="452" customFormat="1"/>
    <row r="29" spans="1:26" s="452" customFormat="1"/>
    <row r="30" spans="1:26" s="452" customFormat="1"/>
    <row r="31" spans="1:26" s="452" customFormat="1"/>
    <row r="32" spans="1:26" s="452" customFormat="1"/>
    <row r="33" s="452" customFormat="1"/>
    <row r="34" s="452" customFormat="1"/>
    <row r="35" s="452" customFormat="1"/>
    <row r="36" s="452" customFormat="1"/>
    <row r="37" s="452" customFormat="1"/>
  </sheetData>
  <mergeCells count="54">
    <mergeCell ref="A2:G2"/>
    <mergeCell ref="H2:P2"/>
    <mergeCell ref="H3:I3"/>
    <mergeCell ref="A4:A6"/>
    <mergeCell ref="B4:E4"/>
    <mergeCell ref="F4:G4"/>
    <mergeCell ref="H4:I4"/>
    <mergeCell ref="J4:K4"/>
    <mergeCell ref="L4:N4"/>
    <mergeCell ref="O4:P4"/>
    <mergeCell ref="O6:O7"/>
    <mergeCell ref="P6:P7"/>
    <mergeCell ref="Y4:Z6"/>
    <mergeCell ref="B5:E5"/>
    <mergeCell ref="F5:G5"/>
    <mergeCell ref="H5:I5"/>
    <mergeCell ref="J5:K5"/>
    <mergeCell ref="L5:N5"/>
    <mergeCell ref="O5:P5"/>
    <mergeCell ref="B6:B7"/>
    <mergeCell ref="G6:G7"/>
    <mergeCell ref="H6:H7"/>
    <mergeCell ref="U4:V6"/>
    <mergeCell ref="W4:X6"/>
    <mergeCell ref="K6:K7"/>
    <mergeCell ref="L6:L7"/>
    <mergeCell ref="M6:M7"/>
    <mergeCell ref="N6:N7"/>
    <mergeCell ref="L8:L9"/>
    <mergeCell ref="A7:A9"/>
    <mergeCell ref="B8:B9"/>
    <mergeCell ref="C8:C9"/>
    <mergeCell ref="D8:D9"/>
    <mergeCell ref="E8:E9"/>
    <mergeCell ref="F8:F9"/>
    <mergeCell ref="D6:D7"/>
    <mergeCell ref="F6:F7"/>
    <mergeCell ref="I6:I7"/>
    <mergeCell ref="J6:J7"/>
    <mergeCell ref="G8:G9"/>
    <mergeCell ref="H8:H9"/>
    <mergeCell ref="I8:I9"/>
    <mergeCell ref="J8:J9"/>
    <mergeCell ref="K8:K9"/>
    <mergeCell ref="W8:W9"/>
    <mergeCell ref="X8:X9"/>
    <mergeCell ref="Y8:Y9"/>
    <mergeCell ref="Z8:Z9"/>
    <mergeCell ref="M8:M9"/>
    <mergeCell ref="N8:N9"/>
    <mergeCell ref="O8:O9"/>
    <mergeCell ref="P8:P9"/>
    <mergeCell ref="U8:U9"/>
    <mergeCell ref="V8:V9"/>
  </mergeCells>
  <phoneticPr fontId="6" type="noConversion"/>
  <printOptions horizontalCentered="1"/>
  <pageMargins left="0.6692913385826772" right="0.6692913385826772" top="0.6692913385826772" bottom="0.6692913385826772" header="0.27559055118110237" footer="0.27559055118110237"/>
  <pageSetup paperSize="9" firstPageNumber="352" orientation="portrait" useFirstPageNumber="1" r:id="rId1"/>
  <headerFooter alignWithMargins="0"/>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工作表13"/>
  <dimension ref="A1:Q22"/>
  <sheetViews>
    <sheetView showGridLines="0" view="pageBreakPreview" zoomScale="70" zoomScaleNormal="70" zoomScaleSheetLayoutView="70" workbookViewId="0">
      <pane xSplit="1" ySplit="9" topLeftCell="B13" activePane="bottomRight" state="frozen"/>
      <selection activeCell="AC13" sqref="AC13"/>
      <selection pane="topRight" activeCell="AC13" sqref="AC13"/>
      <selection pane="bottomLeft" activeCell="AC13" sqref="AC13"/>
      <selection pane="bottomRight" activeCell="G18" sqref="G18"/>
    </sheetView>
  </sheetViews>
  <sheetFormatPr defaultRowHeight="12.75"/>
  <cols>
    <col min="1" max="1" width="13.625" style="452" customWidth="1"/>
    <col min="2" max="5" width="18.5" style="8" customWidth="1"/>
    <col min="6" max="13" width="11" style="8" customWidth="1"/>
    <col min="14" max="16384" width="9" style="8"/>
  </cols>
  <sheetData>
    <row r="1" spans="1:17" s="452" customFormat="1" ht="18" customHeight="1">
      <c r="A1" s="90" t="s">
        <v>934</v>
      </c>
      <c r="M1" s="459" t="s">
        <v>0</v>
      </c>
    </row>
    <row r="2" spans="1:17" s="452" customFormat="1" ht="24.95" customHeight="1">
      <c r="A2" s="767" t="s">
        <v>1008</v>
      </c>
      <c r="B2" s="767"/>
      <c r="C2" s="767"/>
      <c r="D2" s="767"/>
      <c r="E2" s="767"/>
      <c r="F2" s="716" t="s">
        <v>228</v>
      </c>
      <c r="G2" s="716"/>
      <c r="H2" s="716"/>
      <c r="I2" s="716"/>
      <c r="J2" s="716"/>
      <c r="K2" s="716"/>
      <c r="L2" s="716"/>
      <c r="M2" s="716"/>
    </row>
    <row r="3" spans="1:17" s="452" customFormat="1" ht="15" customHeight="1" thickBot="1">
      <c r="A3" s="91"/>
      <c r="E3" s="471" t="s">
        <v>1009</v>
      </c>
      <c r="M3" s="459" t="s">
        <v>229</v>
      </c>
    </row>
    <row r="4" spans="1:17" s="452" customFormat="1" ht="21.6" customHeight="1">
      <c r="A4" s="718" t="s">
        <v>626</v>
      </c>
      <c r="B4" s="772" t="s">
        <v>630</v>
      </c>
      <c r="C4" s="771"/>
      <c r="D4" s="771"/>
      <c r="E4" s="771"/>
      <c r="F4" s="769" t="s">
        <v>628</v>
      </c>
      <c r="G4" s="770"/>
      <c r="H4" s="771" t="s">
        <v>629</v>
      </c>
      <c r="I4" s="771"/>
      <c r="J4" s="771" t="s">
        <v>758</v>
      </c>
      <c r="K4" s="771"/>
      <c r="L4" s="771" t="s">
        <v>759</v>
      </c>
      <c r="M4" s="775"/>
    </row>
    <row r="5" spans="1:17" s="452" customFormat="1" ht="21.6" customHeight="1">
      <c r="A5" s="719"/>
      <c r="B5" s="777" t="s">
        <v>760</v>
      </c>
      <c r="C5" s="766"/>
      <c r="D5" s="766"/>
      <c r="E5" s="766"/>
      <c r="F5" s="773"/>
      <c r="G5" s="774"/>
      <c r="H5" s="758"/>
      <c r="I5" s="758"/>
      <c r="J5" s="758"/>
      <c r="K5" s="758"/>
      <c r="L5" s="758"/>
      <c r="M5" s="776"/>
      <c r="N5" s="467"/>
    </row>
    <row r="6" spans="1:17" s="452" customFormat="1" ht="21.6" customHeight="1">
      <c r="A6" s="719"/>
      <c r="B6" s="166" t="s">
        <v>632</v>
      </c>
      <c r="C6" s="142" t="s">
        <v>633</v>
      </c>
      <c r="D6" s="778" t="s">
        <v>634</v>
      </c>
      <c r="E6" s="779"/>
      <c r="F6" s="773" t="s">
        <v>761</v>
      </c>
      <c r="G6" s="774"/>
      <c r="H6" s="776" t="s">
        <v>762</v>
      </c>
      <c r="I6" s="774"/>
      <c r="J6" s="776" t="s">
        <v>763</v>
      </c>
      <c r="K6" s="774"/>
      <c r="L6" s="776" t="s">
        <v>764</v>
      </c>
      <c r="M6" s="773"/>
      <c r="N6" s="467"/>
    </row>
    <row r="7" spans="1:17" s="452" customFormat="1" ht="21.6" customHeight="1">
      <c r="A7" s="719" t="s">
        <v>765</v>
      </c>
      <c r="B7" s="438" t="s">
        <v>766</v>
      </c>
      <c r="C7" s="433" t="s">
        <v>767</v>
      </c>
      <c r="D7" s="729" t="s">
        <v>768</v>
      </c>
      <c r="E7" s="728"/>
      <c r="F7" s="780"/>
      <c r="G7" s="728"/>
      <c r="H7" s="729"/>
      <c r="I7" s="728"/>
      <c r="J7" s="729"/>
      <c r="K7" s="728"/>
      <c r="L7" s="729"/>
      <c r="M7" s="780"/>
      <c r="N7" s="467"/>
    </row>
    <row r="8" spans="1:17" s="452" customFormat="1" ht="21.6" customHeight="1">
      <c r="A8" s="719"/>
      <c r="B8" s="167" t="s">
        <v>525</v>
      </c>
      <c r="C8" s="470" t="s">
        <v>525</v>
      </c>
      <c r="D8" s="454" t="s">
        <v>525</v>
      </c>
      <c r="E8" s="454" t="s">
        <v>526</v>
      </c>
      <c r="F8" s="470" t="s">
        <v>525</v>
      </c>
      <c r="G8" s="454" t="s">
        <v>526</v>
      </c>
      <c r="H8" s="454" t="s">
        <v>635</v>
      </c>
      <c r="I8" s="454" t="s">
        <v>526</v>
      </c>
      <c r="J8" s="460" t="s">
        <v>637</v>
      </c>
      <c r="K8" s="454" t="s">
        <v>526</v>
      </c>
      <c r="L8" s="454" t="s">
        <v>525</v>
      </c>
      <c r="M8" s="469" t="s">
        <v>526</v>
      </c>
      <c r="N8" s="467"/>
    </row>
    <row r="9" spans="1:17" s="452" customFormat="1" ht="21.6" customHeight="1" thickBot="1">
      <c r="A9" s="726"/>
      <c r="B9" s="168" t="s">
        <v>769</v>
      </c>
      <c r="C9" s="462" t="s">
        <v>769</v>
      </c>
      <c r="D9" s="462" t="s">
        <v>769</v>
      </c>
      <c r="E9" s="466" t="s">
        <v>770</v>
      </c>
      <c r="F9" s="464" t="s">
        <v>769</v>
      </c>
      <c r="G9" s="466" t="s">
        <v>770</v>
      </c>
      <c r="H9" s="462" t="s">
        <v>771</v>
      </c>
      <c r="I9" s="466" t="s">
        <v>770</v>
      </c>
      <c r="J9" s="462" t="s">
        <v>772</v>
      </c>
      <c r="K9" s="466" t="s">
        <v>770</v>
      </c>
      <c r="L9" s="462" t="s">
        <v>769</v>
      </c>
      <c r="M9" s="148" t="s">
        <v>770</v>
      </c>
      <c r="N9" s="467"/>
    </row>
    <row r="10" spans="1:17" s="11" customFormat="1" ht="58.5" customHeight="1">
      <c r="A10" s="505" t="s">
        <v>467</v>
      </c>
      <c r="B10" s="489" t="s">
        <v>57</v>
      </c>
      <c r="C10" s="489" t="s">
        <v>57</v>
      </c>
      <c r="D10" s="50">
        <v>2044</v>
      </c>
      <c r="E10" s="50">
        <v>18959</v>
      </c>
      <c r="F10" s="62">
        <v>0</v>
      </c>
      <c r="G10" s="62">
        <v>0</v>
      </c>
      <c r="H10" s="50">
        <v>20</v>
      </c>
      <c r="I10" s="50">
        <v>580</v>
      </c>
      <c r="J10" s="50">
        <v>9720</v>
      </c>
      <c r="K10" s="50">
        <v>19440</v>
      </c>
      <c r="L10" s="50">
        <v>1105</v>
      </c>
      <c r="M10" s="50">
        <v>2491</v>
      </c>
    </row>
    <row r="11" spans="1:17" ht="58.5" customHeight="1">
      <c r="A11" s="505" t="s">
        <v>468</v>
      </c>
      <c r="B11" s="489" t="s">
        <v>57</v>
      </c>
      <c r="C11" s="489" t="s">
        <v>57</v>
      </c>
      <c r="D11" s="50">
        <v>2147</v>
      </c>
      <c r="E11" s="50">
        <v>21172</v>
      </c>
      <c r="F11" s="62">
        <v>0</v>
      </c>
      <c r="G11" s="62">
        <v>0</v>
      </c>
      <c r="H11" s="50">
        <v>23</v>
      </c>
      <c r="I11" s="50">
        <v>577</v>
      </c>
      <c r="J11" s="50">
        <v>12217</v>
      </c>
      <c r="K11" s="50">
        <v>24434</v>
      </c>
      <c r="L11" s="50">
        <v>1613</v>
      </c>
      <c r="M11" s="50">
        <v>3276</v>
      </c>
    </row>
    <row r="12" spans="1:17" ht="58.5" customHeight="1">
      <c r="A12" s="505" t="s">
        <v>469</v>
      </c>
      <c r="B12" s="489">
        <v>221</v>
      </c>
      <c r="C12" s="489">
        <v>1</v>
      </c>
      <c r="D12" s="50">
        <v>2187</v>
      </c>
      <c r="E12" s="50">
        <v>23765</v>
      </c>
      <c r="F12" s="62">
        <v>0</v>
      </c>
      <c r="G12" s="62">
        <v>0</v>
      </c>
      <c r="H12" s="62">
        <v>0</v>
      </c>
      <c r="I12" s="62">
        <v>0</v>
      </c>
      <c r="J12" s="50">
        <v>8635</v>
      </c>
      <c r="K12" s="50">
        <v>17270</v>
      </c>
      <c r="L12" s="50">
        <v>1562</v>
      </c>
      <c r="M12" s="50">
        <v>3631</v>
      </c>
    </row>
    <row r="13" spans="1:17" ht="58.5" customHeight="1">
      <c r="A13" s="505" t="s">
        <v>470</v>
      </c>
      <c r="B13" s="54">
        <v>496</v>
      </c>
      <c r="C13" s="50">
        <v>2</v>
      </c>
      <c r="D13" s="50">
        <v>2386</v>
      </c>
      <c r="E13" s="50">
        <v>35586</v>
      </c>
      <c r="F13" s="62">
        <v>0</v>
      </c>
      <c r="G13" s="62">
        <v>0</v>
      </c>
      <c r="H13" s="62">
        <v>0</v>
      </c>
      <c r="I13" s="62">
        <v>0</v>
      </c>
      <c r="J13" s="50">
        <v>12984</v>
      </c>
      <c r="K13" s="50">
        <v>29207</v>
      </c>
      <c r="L13" s="50">
        <v>28</v>
      </c>
      <c r="M13" s="50">
        <v>128</v>
      </c>
      <c r="O13" s="82"/>
      <c r="P13" s="89"/>
      <c r="Q13" s="82"/>
    </row>
    <row r="14" spans="1:17" ht="58.5" customHeight="1">
      <c r="A14" s="505" t="s">
        <v>471</v>
      </c>
      <c r="B14" s="54">
        <v>790</v>
      </c>
      <c r="C14" s="50">
        <v>1</v>
      </c>
      <c r="D14" s="50">
        <v>2369</v>
      </c>
      <c r="E14" s="50">
        <v>28823</v>
      </c>
      <c r="F14" s="62">
        <v>0</v>
      </c>
      <c r="G14" s="62">
        <v>0</v>
      </c>
      <c r="H14" s="62">
        <v>0</v>
      </c>
      <c r="I14" s="62">
        <v>0</v>
      </c>
      <c r="J14" s="50">
        <v>14716</v>
      </c>
      <c r="K14" s="50">
        <v>29432</v>
      </c>
      <c r="L14" s="50">
        <v>26</v>
      </c>
      <c r="M14" s="50">
        <v>137</v>
      </c>
    </row>
    <row r="15" spans="1:17" ht="58.5" customHeight="1">
      <c r="A15" s="505" t="s">
        <v>472</v>
      </c>
      <c r="B15" s="29" t="s">
        <v>89</v>
      </c>
      <c r="C15" s="24" t="s">
        <v>41</v>
      </c>
      <c r="D15" s="50">
        <v>1095</v>
      </c>
      <c r="E15" s="50">
        <v>25965</v>
      </c>
      <c r="F15" s="62">
        <v>0</v>
      </c>
      <c r="G15" s="62">
        <v>0</v>
      </c>
      <c r="H15" s="62">
        <v>0</v>
      </c>
      <c r="I15" s="62">
        <v>0</v>
      </c>
      <c r="J15" s="50">
        <v>17972</v>
      </c>
      <c r="K15" s="50">
        <v>35944</v>
      </c>
      <c r="L15" s="50">
        <v>31</v>
      </c>
      <c r="M15" s="50">
        <v>159</v>
      </c>
    </row>
    <row r="16" spans="1:17" ht="58.5" customHeight="1">
      <c r="A16" s="160" t="s">
        <v>473</v>
      </c>
      <c r="B16" s="47">
        <v>240</v>
      </c>
      <c r="C16" s="48">
        <v>4</v>
      </c>
      <c r="D16" s="52">
        <v>1848</v>
      </c>
      <c r="E16" s="52">
        <v>38920.305</v>
      </c>
      <c r="F16" s="64">
        <v>0</v>
      </c>
      <c r="G16" s="64">
        <v>0</v>
      </c>
      <c r="H16" s="64">
        <v>0</v>
      </c>
      <c r="I16" s="64">
        <v>0</v>
      </c>
      <c r="J16" s="52">
        <v>19970</v>
      </c>
      <c r="K16" s="52">
        <v>39940</v>
      </c>
      <c r="L16" s="52">
        <v>41</v>
      </c>
      <c r="M16" s="52">
        <v>205</v>
      </c>
    </row>
    <row r="17" spans="1:13" s="11" customFormat="1" ht="58.5" customHeight="1">
      <c r="A17" s="118" t="s">
        <v>749</v>
      </c>
      <c r="B17" s="489">
        <v>710</v>
      </c>
      <c r="C17" s="489">
        <v>14</v>
      </c>
      <c r="D17" s="50">
        <v>1831</v>
      </c>
      <c r="E17" s="50">
        <v>41651.633999999998</v>
      </c>
      <c r="F17" s="64">
        <v>0</v>
      </c>
      <c r="G17" s="64">
        <v>0</v>
      </c>
      <c r="H17" s="64">
        <v>0</v>
      </c>
      <c r="I17" s="64">
        <v>0</v>
      </c>
      <c r="J17" s="50">
        <v>21513</v>
      </c>
      <c r="K17" s="50">
        <v>43162</v>
      </c>
      <c r="L17" s="489">
        <v>46</v>
      </c>
      <c r="M17" s="489">
        <v>445</v>
      </c>
    </row>
    <row r="18" spans="1:13" s="11" customFormat="1" ht="58.5" customHeight="1">
      <c r="A18" s="118" t="s">
        <v>1042</v>
      </c>
      <c r="B18" s="504">
        <v>399</v>
      </c>
      <c r="C18" s="504">
        <v>4</v>
      </c>
      <c r="D18" s="504">
        <v>1667</v>
      </c>
      <c r="E18" s="52">
        <v>37773.703000000001</v>
      </c>
      <c r="F18" s="64">
        <v>0</v>
      </c>
      <c r="G18" s="64">
        <v>0</v>
      </c>
      <c r="H18" s="64">
        <v>0</v>
      </c>
      <c r="I18" s="64">
        <v>0</v>
      </c>
      <c r="J18" s="50">
        <v>23247</v>
      </c>
      <c r="K18" s="50">
        <v>46494</v>
      </c>
      <c r="L18" s="504">
        <v>75</v>
      </c>
      <c r="M18" s="504">
        <v>740</v>
      </c>
    </row>
    <row r="19" spans="1:13" s="11" customFormat="1" ht="58.5" customHeight="1" thickBot="1">
      <c r="A19" s="507" t="s">
        <v>1235</v>
      </c>
      <c r="B19" s="499">
        <v>244</v>
      </c>
      <c r="C19" s="499">
        <v>1</v>
      </c>
      <c r="D19" s="346">
        <f>402+390+408+419</f>
        <v>1619</v>
      </c>
      <c r="E19" s="346">
        <f>(9030223+8563511+8741164+8531972)/1000</f>
        <v>34866.870000000003</v>
      </c>
      <c r="F19" s="347">
        <v>0</v>
      </c>
      <c r="G19" s="347">
        <v>0</v>
      </c>
      <c r="H19" s="347">
        <v>0</v>
      </c>
      <c r="I19" s="347">
        <v>0</v>
      </c>
      <c r="J19" s="346">
        <f>8513+16108</f>
        <v>24621</v>
      </c>
      <c r="K19" s="346">
        <f>(36168000+17026000)/1000</f>
        <v>53194</v>
      </c>
      <c r="L19" s="346">
        <f>19+22+28+28</f>
        <v>97</v>
      </c>
      <c r="M19" s="346">
        <f>(190000+220000+280000+280000)/1000</f>
        <v>970</v>
      </c>
    </row>
    <row r="20" spans="1:13" ht="15" customHeight="1">
      <c r="A20" s="97"/>
      <c r="F20" s="34"/>
    </row>
    <row r="21" spans="1:13" ht="15" customHeight="1">
      <c r="E21" s="11"/>
      <c r="F21" s="79"/>
      <c r="G21" s="11"/>
      <c r="H21" s="11"/>
      <c r="I21" s="11"/>
      <c r="J21" s="11"/>
      <c r="K21" s="11"/>
      <c r="L21" s="11"/>
      <c r="M21" s="11"/>
    </row>
    <row r="22" spans="1:13">
      <c r="E22" s="11"/>
      <c r="F22" s="11"/>
      <c r="G22" s="11"/>
      <c r="H22" s="11"/>
      <c r="I22" s="11"/>
      <c r="J22" s="11"/>
      <c r="K22" s="11"/>
      <c r="L22" s="11"/>
      <c r="M22" s="11"/>
    </row>
  </sheetData>
  <mergeCells count="16">
    <mergeCell ref="A2:E2"/>
    <mergeCell ref="F2:M2"/>
    <mergeCell ref="A4:A6"/>
    <mergeCell ref="B4:E4"/>
    <mergeCell ref="F4:G5"/>
    <mergeCell ref="H4:I5"/>
    <mergeCell ref="J4:K5"/>
    <mergeCell ref="L4:M5"/>
    <mergeCell ref="B5:E5"/>
    <mergeCell ref="D6:E6"/>
    <mergeCell ref="F6:G7"/>
    <mergeCell ref="H6:I7"/>
    <mergeCell ref="J6:K7"/>
    <mergeCell ref="L6:M7"/>
    <mergeCell ref="A7:A9"/>
    <mergeCell ref="D7:E7"/>
  </mergeCells>
  <phoneticPr fontId="6" type="noConversion"/>
  <printOptions horizontalCentered="1"/>
  <pageMargins left="0.6692913385826772" right="0.6692913385826772" top="0.6692913385826772" bottom="0.6692913385826772" header="0.27559055118110237" footer="0.27559055118110237"/>
  <pageSetup paperSize="9" firstPageNumber="352" orientation="portrait" useFirstPageNumber="1" r:id="rId1"/>
  <headerFooter alignWithMargins="0"/>
  <colBreaks count="1" manualBreakCount="1">
    <brk id="5" max="1048575" man="1"/>
  </col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工作表14"/>
  <dimension ref="A1:AB33"/>
  <sheetViews>
    <sheetView showGridLines="0" view="pageBreakPreview" zoomScale="80" zoomScaleNormal="120" zoomScaleSheetLayoutView="80" workbookViewId="0">
      <pane xSplit="1" ySplit="9" topLeftCell="B13" activePane="bottomRight" state="frozen"/>
      <selection activeCell="P19" sqref="P19"/>
      <selection pane="topRight" activeCell="P19" sqref="P19"/>
      <selection pane="bottomLeft" activeCell="P19" sqref="P19"/>
      <selection pane="bottomRight" activeCell="U21" sqref="U21"/>
    </sheetView>
  </sheetViews>
  <sheetFormatPr defaultRowHeight="12.75"/>
  <cols>
    <col min="1" max="1" width="14" style="452" customWidth="1"/>
    <col min="2" max="5" width="8.375" style="8" customWidth="1"/>
    <col min="6" max="11" width="6.75" style="8" customWidth="1"/>
    <col min="12" max="19" width="7" style="8" customWidth="1"/>
    <col min="20" max="21" width="8.75" style="8" customWidth="1"/>
    <col min="22" max="23" width="7.375" style="8" customWidth="1"/>
    <col min="24" max="24" width="9" style="8" customWidth="1"/>
    <col min="25" max="25" width="9" style="8" hidden="1" customWidth="1"/>
    <col min="26" max="26" width="11.875" style="8" hidden="1" customWidth="1"/>
    <col min="27" max="29" width="9" style="8" customWidth="1"/>
    <col min="30" max="16384" width="9" style="8"/>
  </cols>
  <sheetData>
    <row r="1" spans="1:28" s="452" customFormat="1" ht="18" customHeight="1">
      <c r="A1" s="90" t="s">
        <v>934</v>
      </c>
      <c r="W1" s="459" t="s">
        <v>773</v>
      </c>
    </row>
    <row r="2" spans="1:28" s="452" customFormat="1" ht="24.95" customHeight="1">
      <c r="A2" s="767" t="s">
        <v>1155</v>
      </c>
      <c r="B2" s="767"/>
      <c r="C2" s="767"/>
      <c r="D2" s="767"/>
      <c r="E2" s="767"/>
      <c r="F2" s="767"/>
      <c r="G2" s="767"/>
      <c r="H2" s="767"/>
      <c r="I2" s="767"/>
      <c r="J2" s="767"/>
      <c r="K2" s="767"/>
      <c r="L2" s="716" t="s">
        <v>774</v>
      </c>
      <c r="M2" s="716"/>
      <c r="N2" s="716"/>
      <c r="O2" s="716"/>
      <c r="P2" s="716"/>
      <c r="Q2" s="716"/>
      <c r="R2" s="716"/>
      <c r="S2" s="716"/>
      <c r="T2" s="716"/>
      <c r="U2" s="716"/>
      <c r="V2" s="716"/>
      <c r="W2" s="716"/>
    </row>
    <row r="3" spans="1:28" s="452" customFormat="1" ht="15" customHeight="1" thickBot="1">
      <c r="A3" s="91"/>
      <c r="B3" s="91"/>
      <c r="C3" s="91"/>
      <c r="D3" s="91"/>
      <c r="E3" s="789" t="s">
        <v>1156</v>
      </c>
      <c r="F3" s="789"/>
      <c r="G3" s="789"/>
      <c r="H3" s="789"/>
      <c r="I3" s="789"/>
      <c r="J3" s="789"/>
      <c r="K3" s="789"/>
      <c r="O3" s="789" t="s">
        <v>231</v>
      </c>
      <c r="P3" s="789"/>
      <c r="Q3" s="789"/>
      <c r="R3" s="789"/>
      <c r="S3" s="789"/>
      <c r="T3" s="789"/>
      <c r="U3" s="789"/>
      <c r="V3" s="789"/>
      <c r="W3" s="789"/>
    </row>
    <row r="4" spans="1:28" s="452" customFormat="1" ht="18" customHeight="1">
      <c r="A4" s="718" t="s">
        <v>626</v>
      </c>
      <c r="B4" s="720" t="s">
        <v>1157</v>
      </c>
      <c r="C4" s="769"/>
      <c r="D4" s="769"/>
      <c r="E4" s="770"/>
      <c r="F4" s="735" t="s">
        <v>1297</v>
      </c>
      <c r="G4" s="722"/>
      <c r="H4" s="735" t="s">
        <v>1158</v>
      </c>
      <c r="I4" s="722"/>
      <c r="J4" s="735" t="s">
        <v>628</v>
      </c>
      <c r="K4" s="722"/>
      <c r="L4" s="721" t="s">
        <v>629</v>
      </c>
      <c r="M4" s="722"/>
      <c r="N4" s="735" t="s">
        <v>807</v>
      </c>
      <c r="O4" s="722"/>
      <c r="P4" s="790" t="s">
        <v>1159</v>
      </c>
      <c r="Q4" s="790"/>
      <c r="R4" s="790" t="s">
        <v>1160</v>
      </c>
      <c r="S4" s="790"/>
      <c r="T4" s="752" t="s">
        <v>630</v>
      </c>
      <c r="U4" s="752"/>
      <c r="V4" s="752"/>
      <c r="W4" s="709"/>
    </row>
    <row r="5" spans="1:28" s="452" customFormat="1" ht="18" customHeight="1">
      <c r="A5" s="719"/>
      <c r="B5" s="765" t="s">
        <v>931</v>
      </c>
      <c r="C5" s="730"/>
      <c r="D5" s="730"/>
      <c r="E5" s="731"/>
      <c r="F5" s="736"/>
      <c r="G5" s="742"/>
      <c r="H5" s="736"/>
      <c r="I5" s="742"/>
      <c r="J5" s="736"/>
      <c r="K5" s="742"/>
      <c r="L5" s="741"/>
      <c r="M5" s="742"/>
      <c r="N5" s="736"/>
      <c r="O5" s="742"/>
      <c r="P5" s="756"/>
      <c r="Q5" s="756"/>
      <c r="R5" s="756"/>
      <c r="S5" s="756"/>
      <c r="T5" s="784" t="s">
        <v>232</v>
      </c>
      <c r="U5" s="784"/>
      <c r="V5" s="784"/>
      <c r="W5" s="727"/>
    </row>
    <row r="6" spans="1:28" s="452" customFormat="1" ht="35.1" customHeight="1">
      <c r="A6" s="719"/>
      <c r="B6" s="737" t="s">
        <v>631</v>
      </c>
      <c r="C6" s="467"/>
      <c r="D6" s="739" t="s">
        <v>621</v>
      </c>
      <c r="E6" s="468"/>
      <c r="F6" s="781" t="s">
        <v>233</v>
      </c>
      <c r="G6" s="782"/>
      <c r="H6" s="781" t="s">
        <v>234</v>
      </c>
      <c r="I6" s="782"/>
      <c r="J6" s="743" t="s">
        <v>235</v>
      </c>
      <c r="K6" s="744"/>
      <c r="L6" s="787" t="s">
        <v>236</v>
      </c>
      <c r="M6" s="782"/>
      <c r="N6" s="781" t="s">
        <v>237</v>
      </c>
      <c r="O6" s="782"/>
      <c r="P6" s="783" t="s">
        <v>238</v>
      </c>
      <c r="Q6" s="783"/>
      <c r="R6" s="783" t="s">
        <v>239</v>
      </c>
      <c r="S6" s="783"/>
      <c r="T6" s="461" t="s">
        <v>632</v>
      </c>
      <c r="U6" s="461" t="s">
        <v>633</v>
      </c>
      <c r="V6" s="756" t="s">
        <v>634</v>
      </c>
      <c r="W6" s="736"/>
      <c r="Y6" s="250"/>
    </row>
    <row r="7" spans="1:28" s="452" customFormat="1" ht="35.1" customHeight="1">
      <c r="A7" s="719" t="s">
        <v>216</v>
      </c>
      <c r="B7" s="740"/>
      <c r="C7" s="164" t="s">
        <v>775</v>
      </c>
      <c r="D7" s="736"/>
      <c r="E7" s="165" t="s">
        <v>776</v>
      </c>
      <c r="F7" s="743"/>
      <c r="G7" s="744"/>
      <c r="H7" s="743"/>
      <c r="I7" s="744"/>
      <c r="J7" s="743"/>
      <c r="K7" s="744"/>
      <c r="L7" s="788"/>
      <c r="M7" s="744"/>
      <c r="N7" s="743"/>
      <c r="O7" s="744"/>
      <c r="P7" s="732"/>
      <c r="Q7" s="732"/>
      <c r="R7" s="732"/>
      <c r="S7" s="732"/>
      <c r="T7" s="472" t="s">
        <v>777</v>
      </c>
      <c r="U7" s="472" t="s">
        <v>778</v>
      </c>
      <c r="V7" s="784" t="s">
        <v>779</v>
      </c>
      <c r="W7" s="727"/>
    </row>
    <row r="8" spans="1:28" s="452" customFormat="1" ht="30" customHeight="1">
      <c r="A8" s="719"/>
      <c r="B8" s="760" t="s">
        <v>217</v>
      </c>
      <c r="C8" s="785" t="s">
        <v>780</v>
      </c>
      <c r="D8" s="756" t="s">
        <v>781</v>
      </c>
      <c r="E8" s="785" t="s">
        <v>782</v>
      </c>
      <c r="F8" s="455" t="s">
        <v>525</v>
      </c>
      <c r="G8" s="453" t="s">
        <v>526</v>
      </c>
      <c r="H8" s="455" t="s">
        <v>525</v>
      </c>
      <c r="I8" s="453" t="s">
        <v>526</v>
      </c>
      <c r="J8" s="453" t="s">
        <v>525</v>
      </c>
      <c r="K8" s="453" t="s">
        <v>526</v>
      </c>
      <c r="L8" s="455" t="s">
        <v>635</v>
      </c>
      <c r="M8" s="453" t="s">
        <v>526</v>
      </c>
      <c r="N8" s="461" t="s">
        <v>525</v>
      </c>
      <c r="O8" s="453" t="s">
        <v>526</v>
      </c>
      <c r="P8" s="455" t="s">
        <v>525</v>
      </c>
      <c r="Q8" s="453" t="s">
        <v>526</v>
      </c>
      <c r="R8" s="455" t="s">
        <v>525</v>
      </c>
      <c r="S8" s="453" t="s">
        <v>526</v>
      </c>
      <c r="T8" s="455" t="s">
        <v>525</v>
      </c>
      <c r="U8" s="455" t="s">
        <v>525</v>
      </c>
      <c r="V8" s="453" t="s">
        <v>525</v>
      </c>
      <c r="W8" s="456" t="s">
        <v>526</v>
      </c>
    </row>
    <row r="9" spans="1:28" s="452" customFormat="1" ht="30" customHeight="1" thickBot="1">
      <c r="A9" s="726"/>
      <c r="B9" s="761"/>
      <c r="C9" s="786"/>
      <c r="D9" s="757"/>
      <c r="E9" s="786"/>
      <c r="F9" s="464" t="s">
        <v>783</v>
      </c>
      <c r="G9" s="462" t="s">
        <v>784</v>
      </c>
      <c r="H9" s="464" t="s">
        <v>783</v>
      </c>
      <c r="I9" s="462" t="s">
        <v>784</v>
      </c>
      <c r="J9" s="462" t="s">
        <v>783</v>
      </c>
      <c r="K9" s="462" t="s">
        <v>784</v>
      </c>
      <c r="L9" s="464" t="s">
        <v>785</v>
      </c>
      <c r="M9" s="462" t="s">
        <v>784</v>
      </c>
      <c r="N9" s="464" t="s">
        <v>783</v>
      </c>
      <c r="O9" s="462" t="s">
        <v>784</v>
      </c>
      <c r="P9" s="464" t="s">
        <v>783</v>
      </c>
      <c r="Q9" s="462" t="s">
        <v>784</v>
      </c>
      <c r="R9" s="464" t="s">
        <v>783</v>
      </c>
      <c r="S9" s="462" t="s">
        <v>784</v>
      </c>
      <c r="T9" s="464" t="s">
        <v>786</v>
      </c>
      <c r="U9" s="464" t="s">
        <v>786</v>
      </c>
      <c r="V9" s="462" t="s">
        <v>783</v>
      </c>
      <c r="W9" s="465" t="s">
        <v>784</v>
      </c>
      <c r="Y9" s="452" t="s">
        <v>636</v>
      </c>
      <c r="Z9" s="452" t="s">
        <v>635</v>
      </c>
    </row>
    <row r="10" spans="1:28" s="452" customFormat="1" ht="39.75" customHeight="1">
      <c r="A10" s="118" t="s">
        <v>469</v>
      </c>
      <c r="B10" s="50">
        <v>435</v>
      </c>
      <c r="C10" s="61">
        <v>6.3385853734592504E-2</v>
      </c>
      <c r="D10" s="50">
        <v>1415</v>
      </c>
      <c r="E10" s="61">
        <v>7.0282446027800066E-2</v>
      </c>
      <c r="F10" s="62" t="s">
        <v>1417</v>
      </c>
      <c r="G10" s="62" t="s">
        <v>1418</v>
      </c>
      <c r="H10" s="62" t="s">
        <v>1416</v>
      </c>
      <c r="I10" s="62" t="s">
        <v>1417</v>
      </c>
      <c r="J10" s="62" t="s">
        <v>1417</v>
      </c>
      <c r="K10" s="62" t="s">
        <v>1417</v>
      </c>
      <c r="L10" s="62" t="s">
        <v>1417</v>
      </c>
      <c r="M10" s="62" t="s">
        <v>1417</v>
      </c>
      <c r="N10" s="62" t="s">
        <v>1417</v>
      </c>
      <c r="O10" s="62" t="s">
        <v>1419</v>
      </c>
      <c r="P10" s="62" t="s">
        <v>1417</v>
      </c>
      <c r="Q10" s="62" t="s">
        <v>1417</v>
      </c>
      <c r="R10" s="62" t="s">
        <v>1417</v>
      </c>
      <c r="S10" s="62" t="s">
        <v>1417</v>
      </c>
      <c r="T10" s="62" t="s">
        <v>1417</v>
      </c>
      <c r="U10" s="62" t="s">
        <v>1417</v>
      </c>
      <c r="V10" s="62" t="s">
        <v>1417</v>
      </c>
      <c r="W10" s="62" t="s">
        <v>1417</v>
      </c>
      <c r="X10" s="61"/>
      <c r="Y10" s="50">
        <v>686273</v>
      </c>
      <c r="Z10" s="50">
        <v>2013305</v>
      </c>
    </row>
    <row r="11" spans="1:28" ht="39" customHeight="1">
      <c r="A11" s="118" t="s">
        <v>470</v>
      </c>
      <c r="B11" s="54">
        <v>1758</v>
      </c>
      <c r="C11" s="61">
        <v>0.25048908064238051</v>
      </c>
      <c r="D11" s="50">
        <v>5499</v>
      </c>
      <c r="E11" s="61">
        <v>0.27086521709361966</v>
      </c>
      <c r="F11" s="62">
        <v>0</v>
      </c>
      <c r="G11" s="62">
        <v>0</v>
      </c>
      <c r="H11" s="62">
        <v>0</v>
      </c>
      <c r="I11" s="62">
        <v>0</v>
      </c>
      <c r="J11" s="62">
        <v>0</v>
      </c>
      <c r="K11" s="62">
        <v>0</v>
      </c>
      <c r="L11" s="62">
        <v>0</v>
      </c>
      <c r="M11" s="62">
        <v>0</v>
      </c>
      <c r="N11" s="62">
        <v>0</v>
      </c>
      <c r="O11" s="62">
        <v>0</v>
      </c>
      <c r="P11" s="62">
        <v>0</v>
      </c>
      <c r="Q11" s="62">
        <v>0</v>
      </c>
      <c r="R11" s="62">
        <v>0</v>
      </c>
      <c r="S11" s="62">
        <v>0</v>
      </c>
      <c r="T11" s="283">
        <v>110</v>
      </c>
      <c r="U11" s="283">
        <v>1</v>
      </c>
      <c r="V11" s="283">
        <v>99</v>
      </c>
      <c r="W11" s="283">
        <v>1906</v>
      </c>
      <c r="Y11" s="60">
        <v>701827</v>
      </c>
      <c r="Z11" s="60">
        <v>2030161</v>
      </c>
    </row>
    <row r="12" spans="1:28" ht="39.75" customHeight="1">
      <c r="A12" s="118" t="s">
        <v>471</v>
      </c>
      <c r="B12" s="54">
        <v>2166</v>
      </c>
      <c r="C12" s="61">
        <v>0.30226826797212319</v>
      </c>
      <c r="D12" s="50">
        <v>6733</v>
      </c>
      <c r="E12" s="61">
        <v>0.32939942456616195</v>
      </c>
      <c r="F12" s="62">
        <v>0</v>
      </c>
      <c r="G12" s="62">
        <v>0</v>
      </c>
      <c r="H12" s="62">
        <v>0</v>
      </c>
      <c r="I12" s="62">
        <v>0</v>
      </c>
      <c r="J12" s="62">
        <v>0</v>
      </c>
      <c r="K12" s="62">
        <v>0</v>
      </c>
      <c r="L12" s="62">
        <v>0</v>
      </c>
      <c r="M12" s="62">
        <v>0</v>
      </c>
      <c r="N12" s="62">
        <v>0</v>
      </c>
      <c r="O12" s="62">
        <v>0</v>
      </c>
      <c r="P12" s="62">
        <v>0</v>
      </c>
      <c r="Q12" s="62">
        <v>0</v>
      </c>
      <c r="R12" s="62">
        <v>0</v>
      </c>
      <c r="S12" s="62">
        <v>0</v>
      </c>
      <c r="T12" s="570">
        <v>588</v>
      </c>
      <c r="U12" s="569">
        <v>0</v>
      </c>
      <c r="V12" s="570">
        <v>195</v>
      </c>
      <c r="W12" s="570">
        <v>6981</v>
      </c>
      <c r="Y12" s="60">
        <v>716582</v>
      </c>
      <c r="Z12" s="60">
        <v>2044023</v>
      </c>
    </row>
    <row r="13" spans="1:28" s="11" customFormat="1" ht="39.75" customHeight="1">
      <c r="A13" s="118" t="s">
        <v>472</v>
      </c>
      <c r="B13" s="54">
        <v>2081</v>
      </c>
      <c r="C13" s="61">
        <v>0.28390022428254147</v>
      </c>
      <c r="D13" s="50">
        <v>6529</v>
      </c>
      <c r="E13" s="61">
        <v>0.31719920245947197</v>
      </c>
      <c r="F13" s="62">
        <v>0</v>
      </c>
      <c r="G13" s="62">
        <v>0</v>
      </c>
      <c r="H13" s="62">
        <v>0</v>
      </c>
      <c r="I13" s="62">
        <v>0</v>
      </c>
      <c r="J13" s="62">
        <v>0</v>
      </c>
      <c r="K13" s="62">
        <v>0</v>
      </c>
      <c r="L13" s="62">
        <v>0</v>
      </c>
      <c r="M13" s="62">
        <v>0</v>
      </c>
      <c r="N13" s="62">
        <v>0</v>
      </c>
      <c r="O13" s="62">
        <v>0</v>
      </c>
      <c r="P13" s="62">
        <v>0</v>
      </c>
      <c r="Q13" s="62">
        <v>0</v>
      </c>
      <c r="R13" s="62">
        <v>0</v>
      </c>
      <c r="S13" s="62">
        <v>0</v>
      </c>
      <c r="T13" s="569" t="s">
        <v>89</v>
      </c>
      <c r="U13" s="569">
        <v>0</v>
      </c>
      <c r="V13" s="570">
        <v>165</v>
      </c>
      <c r="W13" s="570">
        <v>2631</v>
      </c>
      <c r="Y13" s="60">
        <v>733004</v>
      </c>
      <c r="Z13" s="60">
        <v>2058328</v>
      </c>
    </row>
    <row r="14" spans="1:28" ht="39.75" customHeight="1">
      <c r="A14" s="118" t="s">
        <v>473</v>
      </c>
      <c r="B14" s="55">
        <v>1894</v>
      </c>
      <c r="C14" s="63">
        <v>0.25236475367787653</v>
      </c>
      <c r="D14" s="52">
        <v>5810</v>
      </c>
      <c r="E14" s="63">
        <v>0.27590726476649985</v>
      </c>
      <c r="F14" s="64">
        <v>0</v>
      </c>
      <c r="G14" s="64">
        <v>0</v>
      </c>
      <c r="H14" s="64">
        <v>0</v>
      </c>
      <c r="I14" s="64">
        <v>0</v>
      </c>
      <c r="J14" s="64">
        <v>0</v>
      </c>
      <c r="K14" s="64">
        <v>0</v>
      </c>
      <c r="L14" s="64">
        <v>0</v>
      </c>
      <c r="M14" s="64">
        <v>0</v>
      </c>
      <c r="N14" s="64">
        <v>0</v>
      </c>
      <c r="O14" s="64">
        <v>0</v>
      </c>
      <c r="P14" s="64">
        <v>0</v>
      </c>
      <c r="Q14" s="64">
        <v>0</v>
      </c>
      <c r="R14" s="64">
        <v>0</v>
      </c>
      <c r="S14" s="64">
        <v>0</v>
      </c>
      <c r="T14" s="78">
        <v>166</v>
      </c>
      <c r="U14" s="78">
        <v>0</v>
      </c>
      <c r="V14" s="571">
        <v>850</v>
      </c>
      <c r="W14" s="571">
        <v>18824</v>
      </c>
      <c r="Y14" s="65">
        <v>750501</v>
      </c>
      <c r="Z14" s="65">
        <v>2105780</v>
      </c>
      <c r="AB14" s="89"/>
    </row>
    <row r="15" spans="1:28" s="11" customFormat="1" ht="39.75" customHeight="1">
      <c r="A15" s="118" t="s">
        <v>749</v>
      </c>
      <c r="B15" s="489">
        <v>2111</v>
      </c>
      <c r="C15" s="63">
        <v>0.2738379076760229</v>
      </c>
      <c r="D15" s="489">
        <v>6411</v>
      </c>
      <c r="E15" s="63">
        <v>0.2984966218339733</v>
      </c>
      <c r="F15" s="64">
        <v>0</v>
      </c>
      <c r="G15" s="64">
        <v>0</v>
      </c>
      <c r="H15" s="64">
        <v>0</v>
      </c>
      <c r="I15" s="64">
        <v>0</v>
      </c>
      <c r="J15" s="64">
        <v>0</v>
      </c>
      <c r="K15" s="64">
        <v>0</v>
      </c>
      <c r="L15" s="64">
        <v>0</v>
      </c>
      <c r="M15" s="64">
        <v>0</v>
      </c>
      <c r="N15" s="64">
        <v>0</v>
      </c>
      <c r="O15" s="64">
        <v>0</v>
      </c>
      <c r="P15" s="64">
        <v>0</v>
      </c>
      <c r="Q15" s="64">
        <v>0</v>
      </c>
      <c r="R15" s="64">
        <v>0</v>
      </c>
      <c r="S15" s="64">
        <v>0</v>
      </c>
      <c r="T15" s="283">
        <v>584</v>
      </c>
      <c r="U15" s="283">
        <v>11</v>
      </c>
      <c r="V15" s="80">
        <v>849</v>
      </c>
      <c r="W15" s="80">
        <v>16420.781999999999</v>
      </c>
      <c r="Y15" s="65">
        <f>[1]RCRPC160!$G$17</f>
        <v>770894</v>
      </c>
      <c r="Z15" s="60">
        <v>2147763</v>
      </c>
    </row>
    <row r="16" spans="1:28" s="11" customFormat="1" ht="39.75" customHeight="1">
      <c r="A16" s="118" t="s">
        <v>1042</v>
      </c>
      <c r="B16" s="488">
        <v>2964</v>
      </c>
      <c r="C16" s="63">
        <f>B16/Y16*100</f>
        <v>0.37501138698543479</v>
      </c>
      <c r="D16" s="489">
        <v>8866</v>
      </c>
      <c r="E16" s="63">
        <f>D16/Z16*100</f>
        <v>0.40520708934162764</v>
      </c>
      <c r="F16" s="64">
        <v>0</v>
      </c>
      <c r="G16" s="64">
        <v>0</v>
      </c>
      <c r="H16" s="64">
        <v>0</v>
      </c>
      <c r="I16" s="64">
        <v>0</v>
      </c>
      <c r="J16" s="64">
        <v>0</v>
      </c>
      <c r="K16" s="64">
        <v>0</v>
      </c>
      <c r="L16" s="64">
        <v>0</v>
      </c>
      <c r="M16" s="64">
        <v>0</v>
      </c>
      <c r="N16" s="64">
        <v>0</v>
      </c>
      <c r="O16" s="64">
        <v>0</v>
      </c>
      <c r="P16" s="64">
        <v>0</v>
      </c>
      <c r="Q16" s="64">
        <v>0</v>
      </c>
      <c r="R16" s="64">
        <v>0</v>
      </c>
      <c r="S16" s="64">
        <v>0</v>
      </c>
      <c r="T16" s="80">
        <v>361</v>
      </c>
      <c r="U16" s="80">
        <v>0</v>
      </c>
      <c r="V16" s="80">
        <v>1188</v>
      </c>
      <c r="W16" s="80">
        <f>28262886/1000</f>
        <v>28262.885999999999</v>
      </c>
      <c r="Y16" s="81">
        <v>790376</v>
      </c>
      <c r="Z16" s="81">
        <v>2188017</v>
      </c>
    </row>
    <row r="17" spans="1:28" s="11" customFormat="1" ht="39.75" customHeight="1">
      <c r="A17" s="505" t="s">
        <v>1235</v>
      </c>
      <c r="B17" s="504">
        <v>3661</v>
      </c>
      <c r="C17" s="348">
        <f>B17/Y17*100</f>
        <v>0.45339089577210817</v>
      </c>
      <c r="D17" s="504">
        <v>10831</v>
      </c>
      <c r="E17" s="63">
        <f>D17/Z17*100</f>
        <v>0.4876913212467896</v>
      </c>
      <c r="F17" s="64">
        <v>0</v>
      </c>
      <c r="G17" s="64">
        <v>0</v>
      </c>
      <c r="H17" s="64">
        <v>0</v>
      </c>
      <c r="I17" s="64">
        <v>0</v>
      </c>
      <c r="J17" s="64">
        <v>0</v>
      </c>
      <c r="K17" s="64">
        <v>0</v>
      </c>
      <c r="L17" s="64">
        <v>0</v>
      </c>
      <c r="M17" s="64">
        <v>0</v>
      </c>
      <c r="N17" s="64">
        <v>0</v>
      </c>
      <c r="O17" s="64">
        <v>0</v>
      </c>
      <c r="P17" s="64">
        <v>0</v>
      </c>
      <c r="Q17" s="64">
        <v>0</v>
      </c>
      <c r="R17" s="64">
        <v>0</v>
      </c>
      <c r="S17" s="64">
        <v>0</v>
      </c>
      <c r="T17" s="80">
        <f>SUM(T18:T21)</f>
        <v>245</v>
      </c>
      <c r="U17" s="80">
        <f>SUM(U18:U21)</f>
        <v>2</v>
      </c>
      <c r="V17" s="80">
        <f>SUM(V18:V21)</f>
        <v>888</v>
      </c>
      <c r="W17" s="80">
        <f>SUM(W18:W21)</f>
        <v>19518.915000000001</v>
      </c>
      <c r="X17" s="81"/>
      <c r="Y17" s="60">
        <v>807471</v>
      </c>
      <c r="Z17" s="60">
        <v>2220872</v>
      </c>
      <c r="AA17" s="81"/>
      <c r="AB17" s="81"/>
    </row>
    <row r="18" spans="1:28" s="11" customFormat="1" ht="39.75" customHeight="1">
      <c r="A18" s="505" t="s">
        <v>927</v>
      </c>
      <c r="B18" s="504">
        <v>3074</v>
      </c>
      <c r="C18" s="348">
        <f t="shared" ref="C18:C21" si="0">B18/Y18*100</f>
        <v>0.38720924666765755</v>
      </c>
      <c r="D18" s="504">
        <v>9201</v>
      </c>
      <c r="E18" s="63">
        <f t="shared" ref="E18:E21" si="1">D18/Z18*100</f>
        <v>0.41892249364741213</v>
      </c>
      <c r="F18" s="64">
        <v>0</v>
      </c>
      <c r="G18" s="64">
        <v>0</v>
      </c>
      <c r="H18" s="64">
        <v>0</v>
      </c>
      <c r="I18" s="64">
        <v>0</v>
      </c>
      <c r="J18" s="64">
        <v>0</v>
      </c>
      <c r="K18" s="64">
        <v>0</v>
      </c>
      <c r="L18" s="64">
        <v>0</v>
      </c>
      <c r="M18" s="64">
        <v>0</v>
      </c>
      <c r="N18" s="64">
        <v>0</v>
      </c>
      <c r="O18" s="64">
        <v>0</v>
      </c>
      <c r="P18" s="64">
        <v>0</v>
      </c>
      <c r="Q18" s="64">
        <v>0</v>
      </c>
      <c r="R18" s="64">
        <v>0</v>
      </c>
      <c r="S18" s="64">
        <v>0</v>
      </c>
      <c r="T18" s="80">
        <v>77</v>
      </c>
      <c r="U18" s="80">
        <v>0</v>
      </c>
      <c r="V18" s="80">
        <v>210</v>
      </c>
      <c r="W18" s="80">
        <f>4389732/1000</f>
        <v>4389.732</v>
      </c>
      <c r="Y18" s="60">
        <v>793886</v>
      </c>
      <c r="Z18" s="60">
        <v>2196349</v>
      </c>
    </row>
    <row r="19" spans="1:28" s="11" customFormat="1" ht="39.75" customHeight="1">
      <c r="A19" s="505" t="s">
        <v>928</v>
      </c>
      <c r="B19" s="504">
        <v>3251</v>
      </c>
      <c r="C19" s="348">
        <f t="shared" si="0"/>
        <v>0.40719396886988957</v>
      </c>
      <c r="D19" s="504">
        <v>9670</v>
      </c>
      <c r="E19" s="63">
        <f t="shared" si="1"/>
        <v>0.43858375997358523</v>
      </c>
      <c r="F19" s="64">
        <v>0</v>
      </c>
      <c r="G19" s="64">
        <v>0</v>
      </c>
      <c r="H19" s="64">
        <v>0</v>
      </c>
      <c r="I19" s="64">
        <v>0</v>
      </c>
      <c r="J19" s="64">
        <v>0</v>
      </c>
      <c r="K19" s="64">
        <v>0</v>
      </c>
      <c r="L19" s="64">
        <v>0</v>
      </c>
      <c r="M19" s="64">
        <v>0</v>
      </c>
      <c r="N19" s="64">
        <v>0</v>
      </c>
      <c r="O19" s="64">
        <v>0</v>
      </c>
      <c r="P19" s="64">
        <v>0</v>
      </c>
      <c r="Q19" s="64">
        <v>0</v>
      </c>
      <c r="R19" s="64">
        <v>0</v>
      </c>
      <c r="S19" s="64">
        <v>0</v>
      </c>
      <c r="T19" s="80">
        <v>60</v>
      </c>
      <c r="U19" s="80">
        <v>0</v>
      </c>
      <c r="V19" s="80">
        <v>220</v>
      </c>
      <c r="W19" s="80">
        <f>4754296/1000</f>
        <v>4754.2960000000003</v>
      </c>
      <c r="Y19" s="60">
        <v>798391</v>
      </c>
      <c r="Z19" s="60">
        <v>2204824</v>
      </c>
    </row>
    <row r="20" spans="1:28" ht="39.75" customHeight="1">
      <c r="A20" s="505" t="s">
        <v>929</v>
      </c>
      <c r="B20" s="504">
        <v>3464</v>
      </c>
      <c r="C20" s="348">
        <f t="shared" si="0"/>
        <v>0.43046242401045837</v>
      </c>
      <c r="D20" s="504">
        <v>10260</v>
      </c>
      <c r="E20" s="63">
        <f t="shared" si="1"/>
        <v>0.46354465276845946</v>
      </c>
      <c r="F20" s="64">
        <v>0</v>
      </c>
      <c r="G20" s="64">
        <v>0</v>
      </c>
      <c r="H20" s="64">
        <v>0</v>
      </c>
      <c r="I20" s="64">
        <v>0</v>
      </c>
      <c r="J20" s="64">
        <v>0</v>
      </c>
      <c r="K20" s="64">
        <v>0</v>
      </c>
      <c r="L20" s="64">
        <v>0</v>
      </c>
      <c r="M20" s="64">
        <v>0</v>
      </c>
      <c r="N20" s="64">
        <v>0</v>
      </c>
      <c r="O20" s="64">
        <v>0</v>
      </c>
      <c r="P20" s="64">
        <v>0</v>
      </c>
      <c r="Q20" s="64">
        <v>0</v>
      </c>
      <c r="R20" s="64">
        <v>0</v>
      </c>
      <c r="S20" s="64">
        <v>0</v>
      </c>
      <c r="T20" s="80">
        <v>68</v>
      </c>
      <c r="U20" s="572">
        <v>2</v>
      </c>
      <c r="V20" s="80">
        <v>226</v>
      </c>
      <c r="W20" s="80">
        <f>5059116/1000</f>
        <v>5059.116</v>
      </c>
      <c r="Y20" s="65">
        <v>804716</v>
      </c>
      <c r="Z20" s="60">
        <v>2213379</v>
      </c>
    </row>
    <row r="21" spans="1:28" ht="39.75" customHeight="1" thickBot="1">
      <c r="A21" s="507" t="s">
        <v>930</v>
      </c>
      <c r="B21" s="349">
        <v>3661</v>
      </c>
      <c r="C21" s="350">
        <f t="shared" si="0"/>
        <v>0.45323934280914302</v>
      </c>
      <c r="D21" s="499">
        <v>10831</v>
      </c>
      <c r="E21" s="345">
        <f t="shared" si="1"/>
        <v>0.4876913212467896</v>
      </c>
      <c r="F21" s="347">
        <v>0</v>
      </c>
      <c r="G21" s="347">
        <v>0</v>
      </c>
      <c r="H21" s="347">
        <v>0</v>
      </c>
      <c r="I21" s="347">
        <v>0</v>
      </c>
      <c r="J21" s="347">
        <v>0</v>
      </c>
      <c r="K21" s="347">
        <v>0</v>
      </c>
      <c r="L21" s="347">
        <v>0</v>
      </c>
      <c r="M21" s="347">
        <v>0</v>
      </c>
      <c r="N21" s="347">
        <v>0</v>
      </c>
      <c r="O21" s="347">
        <v>0</v>
      </c>
      <c r="P21" s="347">
        <v>0</v>
      </c>
      <c r="Q21" s="347">
        <v>0</v>
      </c>
      <c r="R21" s="347">
        <v>0</v>
      </c>
      <c r="S21" s="347">
        <v>0</v>
      </c>
      <c r="T21" s="420">
        <v>40</v>
      </c>
      <c r="U21" s="420">
        <v>0</v>
      </c>
      <c r="V21" s="420">
        <v>232</v>
      </c>
      <c r="W21" s="420">
        <f>5315771/1000</f>
        <v>5315.7709999999997</v>
      </c>
      <c r="Y21" s="323">
        <v>807741</v>
      </c>
      <c r="Z21" s="323">
        <v>2220872</v>
      </c>
    </row>
    <row r="22" spans="1:28" s="452" customFormat="1" ht="14.1" customHeight="1">
      <c r="A22" s="97" t="s">
        <v>937</v>
      </c>
      <c r="L22" s="429" t="s">
        <v>787</v>
      </c>
    </row>
    <row r="23" spans="1:28" s="452" customFormat="1" ht="14.1" customHeight="1">
      <c r="A23" s="100" t="s">
        <v>1005</v>
      </c>
      <c r="L23" s="100" t="s">
        <v>932</v>
      </c>
    </row>
    <row r="24" spans="1:28" s="452" customFormat="1" ht="14.1" customHeight="1">
      <c r="A24" s="100" t="s">
        <v>1006</v>
      </c>
      <c r="L24" s="100" t="s">
        <v>788</v>
      </c>
    </row>
    <row r="25" spans="1:28" s="452" customFormat="1" ht="14.1" customHeight="1">
      <c r="E25" s="97"/>
      <c r="L25" s="100" t="s">
        <v>1007</v>
      </c>
    </row>
    <row r="26" spans="1:28" s="452" customFormat="1" ht="14.1" customHeight="1">
      <c r="K26" s="100"/>
      <c r="L26" s="100" t="s">
        <v>933</v>
      </c>
    </row>
    <row r="27" spans="1:28" s="452" customFormat="1"/>
    <row r="28" spans="1:28" s="452" customFormat="1"/>
    <row r="29" spans="1:28" s="452" customFormat="1"/>
    <row r="30" spans="1:28" s="452" customFormat="1"/>
    <row r="31" spans="1:28" s="452" customFormat="1"/>
    <row r="32" spans="1:28" s="452" customFormat="1"/>
    <row r="33" s="452" customFormat="1"/>
  </sheetData>
  <mergeCells count="32">
    <mergeCell ref="A2:K2"/>
    <mergeCell ref="L2:W2"/>
    <mergeCell ref="E3:K3"/>
    <mergeCell ref="O3:W3"/>
    <mergeCell ref="A4:A6"/>
    <mergeCell ref="B4:E4"/>
    <mergeCell ref="F4:G5"/>
    <mergeCell ref="H4:I5"/>
    <mergeCell ref="J4:K5"/>
    <mergeCell ref="L4:M5"/>
    <mergeCell ref="N4:O5"/>
    <mergeCell ref="P4:Q5"/>
    <mergeCell ref="R4:S5"/>
    <mergeCell ref="T4:W4"/>
    <mergeCell ref="B5:E5"/>
    <mergeCell ref="T5:W5"/>
    <mergeCell ref="N6:O7"/>
    <mergeCell ref="P6:Q7"/>
    <mergeCell ref="R6:S7"/>
    <mergeCell ref="V6:W6"/>
    <mergeCell ref="A7:A9"/>
    <mergeCell ref="V7:W7"/>
    <mergeCell ref="B8:B9"/>
    <mergeCell ref="C8:C9"/>
    <mergeCell ref="D8:D9"/>
    <mergeCell ref="E8:E9"/>
    <mergeCell ref="B6:B7"/>
    <mergeCell ref="D6:D7"/>
    <mergeCell ref="F6:G7"/>
    <mergeCell ref="H6:I7"/>
    <mergeCell ref="J6:K7"/>
    <mergeCell ref="L6:M7"/>
  </mergeCells>
  <phoneticPr fontId="6" type="noConversion"/>
  <printOptions horizontalCentered="1"/>
  <pageMargins left="0.6692913385826772" right="0.6692913385826772" top="0.6692913385826772" bottom="0.6692913385826772" header="0.27559055118110237" footer="0.27559055118110237"/>
  <pageSetup paperSize="9" firstPageNumber="352" orientation="portrait" useFirstPageNumber="1" r:id="rId1"/>
  <headerFooter alignWithMargins="0"/>
  <colBreaks count="1" manualBreakCount="1">
    <brk id="11" max="1048575" man="1"/>
  </col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工作表15"/>
  <dimension ref="A1:R42"/>
  <sheetViews>
    <sheetView showGridLines="0" view="pageBreakPreview" zoomScale="80" zoomScaleNormal="120" zoomScaleSheetLayoutView="80" workbookViewId="0">
      <pane xSplit="1" ySplit="11" topLeftCell="B18" activePane="bottomRight" state="frozen"/>
      <selection activeCell="AC13" sqref="AC13"/>
      <selection pane="topRight" activeCell="AC13" sqref="AC13"/>
      <selection pane="bottomLeft" activeCell="AC13" sqref="AC13"/>
      <selection pane="bottomRight" activeCell="O13" sqref="O13"/>
    </sheetView>
  </sheetViews>
  <sheetFormatPr defaultRowHeight="12.75"/>
  <cols>
    <col min="1" max="1" width="12.625" style="452" customWidth="1"/>
    <col min="2" max="4" width="9.5" style="8" customWidth="1"/>
    <col min="5" max="5" width="9.125" style="8" customWidth="1"/>
    <col min="6" max="8" width="9.5" style="8" customWidth="1"/>
    <col min="9" max="9" width="9.125" style="8" customWidth="1"/>
    <col min="10" max="17" width="11" style="8" customWidth="1"/>
    <col min="18" max="16384" width="9" style="8"/>
  </cols>
  <sheetData>
    <row r="1" spans="1:18" s="452" customFormat="1" ht="18" customHeight="1">
      <c r="A1" s="90" t="s">
        <v>934</v>
      </c>
      <c r="B1" s="100"/>
      <c r="C1" s="100"/>
      <c r="D1" s="100"/>
      <c r="Q1" s="459" t="s">
        <v>789</v>
      </c>
    </row>
    <row r="2" spans="1:18" s="452" customFormat="1" ht="35.1" customHeight="1">
      <c r="A2" s="716" t="s">
        <v>1149</v>
      </c>
      <c r="B2" s="716"/>
      <c r="C2" s="716"/>
      <c r="D2" s="716"/>
      <c r="E2" s="716"/>
      <c r="F2" s="716"/>
      <c r="G2" s="716"/>
      <c r="H2" s="716"/>
      <c r="I2" s="716"/>
      <c r="J2" s="767" t="s">
        <v>790</v>
      </c>
      <c r="K2" s="716"/>
      <c r="L2" s="716"/>
      <c r="M2" s="716"/>
      <c r="N2" s="716"/>
      <c r="O2" s="716"/>
      <c r="P2" s="716"/>
      <c r="Q2" s="716"/>
    </row>
    <row r="3" spans="1:18" s="452" customFormat="1" ht="15" customHeight="1" thickBot="1">
      <c r="A3" s="467"/>
      <c r="B3" s="467"/>
      <c r="C3" s="467"/>
      <c r="D3" s="467"/>
      <c r="E3" s="467"/>
      <c r="F3" s="467"/>
      <c r="G3" s="467"/>
      <c r="H3" s="467"/>
      <c r="I3" s="459" t="s">
        <v>1001</v>
      </c>
      <c r="J3" s="467"/>
      <c r="K3" s="467"/>
      <c r="L3" s="467"/>
      <c r="M3" s="92"/>
      <c r="N3" s="92"/>
      <c r="O3" s="101"/>
      <c r="P3" s="101"/>
      <c r="Q3" s="471" t="s">
        <v>241</v>
      </c>
    </row>
    <row r="4" spans="1:18" s="452" customFormat="1" ht="18" customHeight="1">
      <c r="A4" s="474"/>
      <c r="B4" s="793" t="s">
        <v>1150</v>
      </c>
      <c r="C4" s="794"/>
      <c r="D4" s="794"/>
      <c r="E4" s="794"/>
      <c r="F4" s="794"/>
      <c r="G4" s="794"/>
      <c r="H4" s="794"/>
      <c r="I4" s="794"/>
      <c r="J4" s="794" t="s">
        <v>242</v>
      </c>
      <c r="K4" s="794"/>
      <c r="L4" s="794"/>
      <c r="M4" s="794"/>
      <c r="N4" s="794"/>
      <c r="O4" s="794"/>
      <c r="P4" s="794"/>
      <c r="Q4" s="794"/>
      <c r="R4" s="467"/>
    </row>
    <row r="5" spans="1:18" s="452" customFormat="1" ht="18" customHeight="1">
      <c r="A5" s="795" t="s">
        <v>614</v>
      </c>
      <c r="B5" s="737" t="s">
        <v>1151</v>
      </c>
      <c r="C5" s="738"/>
      <c r="D5" s="738"/>
      <c r="E5" s="725"/>
      <c r="F5" s="796" t="s">
        <v>1152</v>
      </c>
      <c r="G5" s="797"/>
      <c r="H5" s="797"/>
      <c r="I5" s="797"/>
      <c r="J5" s="797"/>
      <c r="K5" s="797"/>
      <c r="L5" s="797"/>
      <c r="M5" s="797"/>
      <c r="N5" s="797"/>
      <c r="O5" s="797"/>
      <c r="P5" s="797"/>
      <c r="Q5" s="798"/>
      <c r="R5" s="467"/>
    </row>
    <row r="6" spans="1:18" s="452" customFormat="1" ht="18" customHeight="1">
      <c r="A6" s="795"/>
      <c r="B6" s="740"/>
      <c r="C6" s="741"/>
      <c r="D6" s="741"/>
      <c r="E6" s="742"/>
      <c r="F6" s="736" t="s">
        <v>638</v>
      </c>
      <c r="G6" s="741"/>
      <c r="H6" s="741"/>
      <c r="I6" s="774"/>
      <c r="J6" s="741" t="s">
        <v>1004</v>
      </c>
      <c r="K6" s="741"/>
      <c r="L6" s="741"/>
      <c r="M6" s="774"/>
      <c r="N6" s="736" t="s">
        <v>639</v>
      </c>
      <c r="O6" s="741"/>
      <c r="P6" s="741"/>
      <c r="Q6" s="774"/>
      <c r="R6" s="467"/>
    </row>
    <row r="7" spans="1:18" s="452" customFormat="1" ht="18" customHeight="1">
      <c r="A7" s="473"/>
      <c r="B7" s="765"/>
      <c r="C7" s="730"/>
      <c r="D7" s="730"/>
      <c r="E7" s="731"/>
      <c r="F7" s="727" t="s">
        <v>243</v>
      </c>
      <c r="G7" s="730"/>
      <c r="H7" s="730"/>
      <c r="I7" s="731"/>
      <c r="J7" s="730" t="s">
        <v>244</v>
      </c>
      <c r="K7" s="730"/>
      <c r="L7" s="730"/>
      <c r="M7" s="731"/>
      <c r="N7" s="727" t="s">
        <v>245</v>
      </c>
      <c r="O7" s="730"/>
      <c r="P7" s="730"/>
      <c r="Q7" s="731"/>
      <c r="R7" s="467"/>
    </row>
    <row r="8" spans="1:18" s="452" customFormat="1" ht="18" customHeight="1">
      <c r="A8" s="473" t="s">
        <v>201</v>
      </c>
      <c r="B8" s="791" t="s">
        <v>621</v>
      </c>
      <c r="C8" s="792"/>
      <c r="D8" s="779"/>
      <c r="E8" s="724" t="s">
        <v>622</v>
      </c>
      <c r="F8" s="778" t="s">
        <v>621</v>
      </c>
      <c r="G8" s="792"/>
      <c r="H8" s="779"/>
      <c r="I8" s="724" t="s">
        <v>622</v>
      </c>
      <c r="J8" s="792" t="s">
        <v>621</v>
      </c>
      <c r="K8" s="792"/>
      <c r="L8" s="779"/>
      <c r="M8" s="724" t="s">
        <v>622</v>
      </c>
      <c r="N8" s="778" t="s">
        <v>621</v>
      </c>
      <c r="O8" s="792"/>
      <c r="P8" s="779"/>
      <c r="Q8" s="724" t="s">
        <v>622</v>
      </c>
      <c r="R8" s="467"/>
    </row>
    <row r="9" spans="1:18" s="452" customFormat="1" ht="18" customHeight="1">
      <c r="A9" s="473"/>
      <c r="B9" s="765" t="s">
        <v>219</v>
      </c>
      <c r="C9" s="730"/>
      <c r="D9" s="731"/>
      <c r="E9" s="758"/>
      <c r="F9" s="727" t="s">
        <v>219</v>
      </c>
      <c r="G9" s="730"/>
      <c r="H9" s="731"/>
      <c r="I9" s="758"/>
      <c r="J9" s="730" t="s">
        <v>219</v>
      </c>
      <c r="K9" s="730"/>
      <c r="L9" s="731"/>
      <c r="M9" s="758"/>
      <c r="N9" s="727" t="s">
        <v>219</v>
      </c>
      <c r="O9" s="730"/>
      <c r="P9" s="731"/>
      <c r="Q9" s="758"/>
      <c r="R9" s="467"/>
    </row>
    <row r="10" spans="1:18" s="452" customFormat="1" ht="18" customHeight="1">
      <c r="A10" s="473"/>
      <c r="B10" s="161" t="s">
        <v>459</v>
      </c>
      <c r="C10" s="468" t="s">
        <v>464</v>
      </c>
      <c r="D10" s="468" t="s">
        <v>465</v>
      </c>
      <c r="E10" s="756" t="s">
        <v>246</v>
      </c>
      <c r="F10" s="460" t="s">
        <v>623</v>
      </c>
      <c r="G10" s="460" t="s">
        <v>624</v>
      </c>
      <c r="H10" s="460" t="s">
        <v>625</v>
      </c>
      <c r="I10" s="756" t="s">
        <v>246</v>
      </c>
      <c r="J10" s="468" t="s">
        <v>623</v>
      </c>
      <c r="K10" s="460" t="s">
        <v>624</v>
      </c>
      <c r="L10" s="460" t="s">
        <v>625</v>
      </c>
      <c r="M10" s="756" t="s">
        <v>246</v>
      </c>
      <c r="N10" s="460" t="s">
        <v>623</v>
      </c>
      <c r="O10" s="460" t="s">
        <v>624</v>
      </c>
      <c r="P10" s="460" t="s">
        <v>625</v>
      </c>
      <c r="Q10" s="756" t="s">
        <v>246</v>
      </c>
      <c r="R10" s="467"/>
    </row>
    <row r="11" spans="1:18" s="457" customFormat="1" ht="18" customHeight="1" thickBot="1">
      <c r="A11" s="451"/>
      <c r="B11" s="463" t="s">
        <v>148</v>
      </c>
      <c r="C11" s="464" t="s">
        <v>87</v>
      </c>
      <c r="D11" s="464" t="s">
        <v>88</v>
      </c>
      <c r="E11" s="757"/>
      <c r="F11" s="462" t="s">
        <v>247</v>
      </c>
      <c r="G11" s="462" t="s">
        <v>158</v>
      </c>
      <c r="H11" s="462" t="s">
        <v>159</v>
      </c>
      <c r="I11" s="757"/>
      <c r="J11" s="464" t="s">
        <v>247</v>
      </c>
      <c r="K11" s="462" t="s">
        <v>158</v>
      </c>
      <c r="L11" s="462" t="s">
        <v>159</v>
      </c>
      <c r="M11" s="757"/>
      <c r="N11" s="462" t="s">
        <v>247</v>
      </c>
      <c r="O11" s="462" t="s">
        <v>158</v>
      </c>
      <c r="P11" s="462" t="s">
        <v>159</v>
      </c>
      <c r="Q11" s="757"/>
    </row>
    <row r="12" spans="1:18" ht="53.1" customHeight="1">
      <c r="A12" s="118" t="s">
        <v>467</v>
      </c>
      <c r="B12" s="29">
        <f t="shared" ref="B12:B18" si="0">SUM(C12:D12)</f>
        <v>6903</v>
      </c>
      <c r="C12" s="24">
        <f>SUM(G12,K12,O12,'11-10續 '!C12,'11-10續 '!G12)</f>
        <v>3585</v>
      </c>
      <c r="D12" s="24">
        <f>SUM(H12,L12,P12,'11-10續 '!D12,'11-10續 '!H12)</f>
        <v>3318</v>
      </c>
      <c r="E12" s="24">
        <f>SUM(I12,M12,Q12,'11-10續 '!E12,'11-10續 '!I12)</f>
        <v>417834</v>
      </c>
      <c r="F12" s="24">
        <f t="shared" ref="F12:F21" si="1">SUM(G12:H12)</f>
        <v>42</v>
      </c>
      <c r="G12" s="24">
        <v>36</v>
      </c>
      <c r="H12" s="24">
        <v>6</v>
      </c>
      <c r="I12" s="24">
        <v>3114</v>
      </c>
      <c r="J12" s="24">
        <f t="shared" ref="J12:J21" si="2">SUM(K12:L12)</f>
        <v>173</v>
      </c>
      <c r="K12" s="24">
        <v>115</v>
      </c>
      <c r="L12" s="24">
        <v>58</v>
      </c>
      <c r="M12" s="24">
        <v>12348</v>
      </c>
      <c r="N12" s="24">
        <f t="shared" ref="N12:N19" si="3">SUM(O12:P12)</f>
        <v>201</v>
      </c>
      <c r="O12" s="24">
        <v>124</v>
      </c>
      <c r="P12" s="24">
        <v>77</v>
      </c>
      <c r="Q12" s="24">
        <v>14952</v>
      </c>
    </row>
    <row r="13" spans="1:18" ht="53.1" customHeight="1">
      <c r="A13" s="118" t="s">
        <v>468</v>
      </c>
      <c r="B13" s="29">
        <f t="shared" si="0"/>
        <v>6699</v>
      </c>
      <c r="C13" s="24">
        <f>SUM(G13,K13,O13,'11-10續 '!C13,'11-10續 '!G13)</f>
        <v>3414</v>
      </c>
      <c r="D13" s="24">
        <f>SUM(H13,L13,P13,'11-10續 '!D13,'11-10續 '!H13)</f>
        <v>3285</v>
      </c>
      <c r="E13" s="24">
        <f>SUM(I13,M13,Q13,'11-10續 '!E13,'11-10續 '!I13)</f>
        <v>411969</v>
      </c>
      <c r="F13" s="24">
        <f t="shared" si="1"/>
        <v>42</v>
      </c>
      <c r="G13" s="24">
        <v>35</v>
      </c>
      <c r="H13" s="24">
        <v>7</v>
      </c>
      <c r="I13" s="24">
        <v>2922</v>
      </c>
      <c r="J13" s="24">
        <f t="shared" si="2"/>
        <v>161</v>
      </c>
      <c r="K13" s="24">
        <v>113</v>
      </c>
      <c r="L13" s="24">
        <v>48</v>
      </c>
      <c r="M13" s="24">
        <v>11766</v>
      </c>
      <c r="N13" s="24">
        <f t="shared" si="3"/>
        <v>221</v>
      </c>
      <c r="O13" s="24">
        <v>135</v>
      </c>
      <c r="P13" s="24">
        <v>86</v>
      </c>
      <c r="Q13" s="24">
        <v>15558</v>
      </c>
    </row>
    <row r="14" spans="1:18" ht="53.1" customHeight="1">
      <c r="A14" s="118" t="s">
        <v>469</v>
      </c>
      <c r="B14" s="29">
        <f t="shared" si="0"/>
        <v>6630</v>
      </c>
      <c r="C14" s="24">
        <f>SUM(G14,K14,O14,'11-10續 '!C14,'11-10續 '!G14)</f>
        <v>3349</v>
      </c>
      <c r="D14" s="24">
        <f>SUM(H14,L14,P14,'11-10續 '!D14,'11-10續 '!H14)</f>
        <v>3281</v>
      </c>
      <c r="E14" s="24">
        <f>SUM(I14,M14,Q14,'11-10續 '!E14,'11-10續 '!I14)</f>
        <v>403662</v>
      </c>
      <c r="F14" s="24">
        <f t="shared" si="1"/>
        <v>37</v>
      </c>
      <c r="G14" s="24">
        <v>29</v>
      </c>
      <c r="H14" s="24">
        <v>8</v>
      </c>
      <c r="I14" s="24">
        <v>2916</v>
      </c>
      <c r="J14" s="24">
        <f t="shared" si="2"/>
        <v>147</v>
      </c>
      <c r="K14" s="24">
        <v>108</v>
      </c>
      <c r="L14" s="24">
        <v>39</v>
      </c>
      <c r="M14" s="24">
        <v>10638</v>
      </c>
      <c r="N14" s="24">
        <f t="shared" si="3"/>
        <v>224</v>
      </c>
      <c r="O14" s="24">
        <v>142</v>
      </c>
      <c r="P14" s="24">
        <v>82</v>
      </c>
      <c r="Q14" s="24">
        <v>15876</v>
      </c>
    </row>
    <row r="15" spans="1:18" ht="53.1" customHeight="1">
      <c r="A15" s="118" t="s">
        <v>470</v>
      </c>
      <c r="B15" s="29">
        <f t="shared" si="0"/>
        <v>6447</v>
      </c>
      <c r="C15" s="24">
        <f>SUM(G15,K15,O15,'11-10續 '!C15,'11-10續 '!G15)</f>
        <v>3190</v>
      </c>
      <c r="D15" s="24">
        <f>SUM(H15,L15,P15,'11-10續 '!D15,'11-10續 '!H15)</f>
        <v>3257</v>
      </c>
      <c r="E15" s="24">
        <f>SUM(I15,M15,Q15,'11-10續 '!E15,'11-10續 '!I15)</f>
        <v>471272</v>
      </c>
      <c r="F15" s="24">
        <f t="shared" si="1"/>
        <v>28</v>
      </c>
      <c r="G15" s="24">
        <v>24</v>
      </c>
      <c r="H15" s="24">
        <v>4</v>
      </c>
      <c r="I15" s="24">
        <v>2765</v>
      </c>
      <c r="J15" s="24">
        <f t="shared" si="2"/>
        <v>134</v>
      </c>
      <c r="K15" s="24">
        <v>98</v>
      </c>
      <c r="L15" s="24">
        <v>36</v>
      </c>
      <c r="M15" s="24">
        <v>11455</v>
      </c>
      <c r="N15" s="24">
        <f t="shared" si="3"/>
        <v>221</v>
      </c>
      <c r="O15" s="24">
        <v>148</v>
      </c>
      <c r="P15" s="24">
        <v>73</v>
      </c>
      <c r="Q15" s="24">
        <v>18950</v>
      </c>
    </row>
    <row r="16" spans="1:18" ht="53.1" customHeight="1">
      <c r="A16" s="118" t="s">
        <v>471</v>
      </c>
      <c r="B16" s="29">
        <f t="shared" si="0"/>
        <v>6321</v>
      </c>
      <c r="C16" s="24">
        <f>SUM(G16,K16,O16,'11-10續 '!C16,'11-10續 '!G16)</f>
        <v>3091</v>
      </c>
      <c r="D16" s="24">
        <f>SUM(H16,L16,P16,'11-10續 '!D16,'11-10續 '!H16)</f>
        <v>3230</v>
      </c>
      <c r="E16" s="24">
        <f>SUM(I16,M16,Q16,'11-10續 '!E16,'11-10續 '!I16)</f>
        <v>458002</v>
      </c>
      <c r="F16" s="24">
        <f t="shared" si="1"/>
        <v>27</v>
      </c>
      <c r="G16" s="24">
        <v>23</v>
      </c>
      <c r="H16" s="24">
        <v>4</v>
      </c>
      <c r="I16" s="24">
        <v>2462</v>
      </c>
      <c r="J16" s="24">
        <f t="shared" si="2"/>
        <v>130</v>
      </c>
      <c r="K16" s="24">
        <v>95</v>
      </c>
      <c r="L16" s="24">
        <v>35</v>
      </c>
      <c r="M16" s="24">
        <v>11124</v>
      </c>
      <c r="N16" s="24">
        <f t="shared" si="3"/>
        <v>238</v>
      </c>
      <c r="O16" s="24">
        <v>157</v>
      </c>
      <c r="P16" s="24">
        <v>81</v>
      </c>
      <c r="Q16" s="24">
        <v>19951</v>
      </c>
    </row>
    <row r="17" spans="1:18" ht="53.1" customHeight="1">
      <c r="A17" s="118" t="s">
        <v>472</v>
      </c>
      <c r="B17" s="47">
        <f t="shared" si="0"/>
        <v>6154</v>
      </c>
      <c r="C17" s="48">
        <f>SUM(G17,K17,O17,'11-10續 '!C17,'11-10續 '!G17)</f>
        <v>2977</v>
      </c>
      <c r="D17" s="48">
        <f>SUM(H17,L17,P17,'11-10續 '!D17,'11-10續 '!H17)</f>
        <v>3177</v>
      </c>
      <c r="E17" s="24">
        <f>SUM(I17,M17,Q17,'11-10續 '!E17,'11-10續 '!I17)</f>
        <v>454990</v>
      </c>
      <c r="F17" s="48">
        <f t="shared" si="1"/>
        <v>23</v>
      </c>
      <c r="G17" s="48">
        <v>20</v>
      </c>
      <c r="H17" s="48">
        <v>3</v>
      </c>
      <c r="I17" s="48">
        <v>2074</v>
      </c>
      <c r="J17" s="48">
        <f t="shared" si="2"/>
        <v>132</v>
      </c>
      <c r="K17" s="48">
        <v>98</v>
      </c>
      <c r="L17" s="48">
        <v>34</v>
      </c>
      <c r="M17" s="48">
        <v>11218</v>
      </c>
      <c r="N17" s="48">
        <f>SUM(O17:P17)</f>
        <v>253</v>
      </c>
      <c r="O17" s="48">
        <v>167</v>
      </c>
      <c r="P17" s="48">
        <v>86</v>
      </c>
      <c r="Q17" s="48">
        <v>20887</v>
      </c>
    </row>
    <row r="18" spans="1:18" s="11" customFormat="1" ht="53.1" customHeight="1">
      <c r="A18" s="118" t="s">
        <v>473</v>
      </c>
      <c r="B18" s="47">
        <f t="shared" si="0"/>
        <v>6087</v>
      </c>
      <c r="C18" s="48">
        <f>SUM(G18,K18,O18,'11-10續 '!C18,'11-10續 '!G18)</f>
        <v>2931</v>
      </c>
      <c r="D18" s="48">
        <f>SUM(H18,L18,P18,'11-10續 '!D18,'11-10續 '!H18)</f>
        <v>3156</v>
      </c>
      <c r="E18" s="24">
        <f>SUM(I18,M18,Q18,'11-10續 '!E18,'11-10續 '!I18)</f>
        <v>471114</v>
      </c>
      <c r="F18" s="48">
        <f t="shared" si="1"/>
        <v>23</v>
      </c>
      <c r="G18" s="24">
        <v>14</v>
      </c>
      <c r="H18" s="24">
        <v>9</v>
      </c>
      <c r="I18" s="24">
        <f>1569600/1000</f>
        <v>1569.6</v>
      </c>
      <c r="J18" s="48">
        <f t="shared" si="2"/>
        <v>168</v>
      </c>
      <c r="K18" s="24">
        <v>127</v>
      </c>
      <c r="L18" s="24">
        <v>41</v>
      </c>
      <c r="M18" s="24">
        <f>14544000/1000</f>
        <v>14544</v>
      </c>
      <c r="N18" s="48">
        <f t="shared" si="3"/>
        <v>243</v>
      </c>
      <c r="O18" s="24">
        <v>167</v>
      </c>
      <c r="P18" s="24">
        <v>76</v>
      </c>
      <c r="Q18" s="24">
        <f>20764800/1000</f>
        <v>20764.8</v>
      </c>
    </row>
    <row r="19" spans="1:18" s="11" customFormat="1" ht="53.1" customHeight="1">
      <c r="A19" s="118" t="s">
        <v>749</v>
      </c>
      <c r="B19" s="47">
        <f>SUM(C19:D19)</f>
        <v>6321</v>
      </c>
      <c r="C19" s="48">
        <f>SUM(G19,K19,O19,'11-10續 '!C19,'11-10續 '!G19)</f>
        <v>3003</v>
      </c>
      <c r="D19" s="48">
        <f>SUM(H19,L19,P19,'11-10續 '!D19,'11-10續 '!H19)</f>
        <v>3318</v>
      </c>
      <c r="E19" s="24">
        <f>SUM(I19,M19,Q19,'11-10續 '!E19,'11-10續 '!I19)</f>
        <v>506463.16100000002</v>
      </c>
      <c r="F19" s="48">
        <f t="shared" si="1"/>
        <v>11</v>
      </c>
      <c r="G19" s="24">
        <v>10</v>
      </c>
      <c r="H19" s="24">
        <v>1</v>
      </c>
      <c r="I19" s="24">
        <f>1231395/1000</f>
        <v>1231.395</v>
      </c>
      <c r="J19" s="48">
        <f t="shared" si="2"/>
        <v>217</v>
      </c>
      <c r="K19" s="24">
        <v>170</v>
      </c>
      <c r="L19" s="24">
        <v>47</v>
      </c>
      <c r="M19" s="24">
        <f>17858959/1000</f>
        <v>17858.958999999999</v>
      </c>
      <c r="N19" s="48">
        <f t="shared" si="3"/>
        <v>280</v>
      </c>
      <c r="O19" s="24">
        <v>189</v>
      </c>
      <c r="P19" s="24">
        <v>91</v>
      </c>
      <c r="Q19" s="24">
        <f>23351727/1000</f>
        <v>23351.726999999999</v>
      </c>
    </row>
    <row r="20" spans="1:18" s="11" customFormat="1" ht="53.1" customHeight="1">
      <c r="A20" s="118" t="s">
        <v>1042</v>
      </c>
      <c r="B20" s="47">
        <f t="shared" ref="B20:B21" si="4">SUM(C20:D20)</f>
        <v>6686</v>
      </c>
      <c r="C20" s="48">
        <f>SUM(G20,K20,O20,'11-10續 '!C20,'11-10續 '!G20)</f>
        <v>3112</v>
      </c>
      <c r="D20" s="48">
        <f>SUM(H20,L20,P20,'11-10續 '!D20,'11-10續 '!H20)</f>
        <v>3574</v>
      </c>
      <c r="E20" s="24">
        <f>SUM(I20,M20,Q20,'11-10續 '!E20,'11-10續 '!I20)</f>
        <v>531650.08299999998</v>
      </c>
      <c r="F20" s="48">
        <f t="shared" ref="F20" si="5">SUM(G20:H20)</f>
        <v>12</v>
      </c>
      <c r="G20" s="24">
        <v>11</v>
      </c>
      <c r="H20" s="24">
        <v>1</v>
      </c>
      <c r="I20" s="24">
        <f>1082135/1000</f>
        <v>1082.135</v>
      </c>
      <c r="J20" s="48">
        <f t="shared" ref="J20" si="6">SUM(K20:L20)</f>
        <v>225</v>
      </c>
      <c r="K20" s="24">
        <v>177</v>
      </c>
      <c r="L20" s="24">
        <v>48</v>
      </c>
      <c r="M20" s="24">
        <f>20030692/1000</f>
        <v>20030.691999999999</v>
      </c>
      <c r="N20" s="48">
        <f>SUM(O20:P20)</f>
        <v>328</v>
      </c>
      <c r="O20" s="24">
        <v>209</v>
      </c>
      <c r="P20" s="24">
        <v>119</v>
      </c>
      <c r="Q20" s="24">
        <f>27172783/1000</f>
        <v>27172.782999999999</v>
      </c>
    </row>
    <row r="21" spans="1:18" s="11" customFormat="1" ht="53.1" customHeight="1" thickBot="1">
      <c r="A21" s="119" t="s">
        <v>1235</v>
      </c>
      <c r="B21" s="344">
        <f t="shared" si="4"/>
        <v>7287</v>
      </c>
      <c r="C21" s="343">
        <f>SUM(G21,K21,O21,'11-10續 '!C21,'11-10續 '!G21)</f>
        <v>3381</v>
      </c>
      <c r="D21" s="343">
        <f>SUM(H21,L21,P21,'11-10續 '!D21,'11-10續 '!H21)</f>
        <v>3906</v>
      </c>
      <c r="E21" s="343">
        <f>SUM(I21,M21,Q21,'11-10續 '!E21,'11-10續 '!I21)</f>
        <v>567102.17000000004</v>
      </c>
      <c r="F21" s="343">
        <f t="shared" si="1"/>
        <v>11</v>
      </c>
      <c r="G21" s="343">
        <v>10</v>
      </c>
      <c r="H21" s="343">
        <v>1</v>
      </c>
      <c r="I21" s="343">
        <f>1126913/1000</f>
        <v>1126.913</v>
      </c>
      <c r="J21" s="343">
        <f t="shared" si="2"/>
        <v>238</v>
      </c>
      <c r="K21" s="343">
        <v>178</v>
      </c>
      <c r="L21" s="343">
        <v>60</v>
      </c>
      <c r="M21" s="343">
        <f>21053123/1000</f>
        <v>21053.123</v>
      </c>
      <c r="N21" s="343">
        <f>SUM(O21:P21)</f>
        <v>383</v>
      </c>
      <c r="O21" s="343">
        <v>238</v>
      </c>
      <c r="P21" s="343">
        <v>145</v>
      </c>
      <c r="Q21" s="343">
        <f>31389378/1000</f>
        <v>31389.378000000001</v>
      </c>
    </row>
    <row r="22" spans="1:18" s="452" customFormat="1" ht="15" customHeight="1">
      <c r="A22" s="158" t="s">
        <v>1153</v>
      </c>
      <c r="B22" s="475"/>
      <c r="C22" s="475"/>
      <c r="D22" s="475"/>
      <c r="E22" s="475"/>
      <c r="F22" s="475"/>
      <c r="G22" s="475"/>
      <c r="H22" s="475"/>
      <c r="I22" s="475"/>
      <c r="J22" s="429" t="s">
        <v>791</v>
      </c>
      <c r="K22" s="475"/>
      <c r="L22" s="475"/>
      <c r="M22" s="475"/>
      <c r="N22" s="475"/>
      <c r="O22" s="475"/>
      <c r="P22" s="475"/>
    </row>
    <row r="23" spans="1:18" s="452" customFormat="1" ht="15" customHeight="1">
      <c r="A23" s="158" t="s">
        <v>1154</v>
      </c>
      <c r="B23" s="475"/>
      <c r="C23" s="475"/>
      <c r="D23" s="475"/>
      <c r="E23" s="475"/>
      <c r="F23" s="475"/>
      <c r="G23" s="475"/>
      <c r="H23" s="475"/>
      <c r="I23" s="475"/>
      <c r="J23" s="162" t="s">
        <v>792</v>
      </c>
      <c r="K23" s="475"/>
      <c r="L23" s="475"/>
      <c r="M23" s="475"/>
      <c r="N23" s="475"/>
      <c r="O23" s="475"/>
      <c r="P23" s="475"/>
    </row>
    <row r="24" spans="1:18" s="452" customFormat="1" ht="15" customHeight="1">
      <c r="J24" s="162" t="s">
        <v>793</v>
      </c>
    </row>
    <row r="25" spans="1:18" s="452" customFormat="1"/>
    <row r="26" spans="1:18" s="452" customFormat="1"/>
    <row r="27" spans="1:18" s="452" customFormat="1"/>
    <row r="28" spans="1:18" s="163" customFormat="1">
      <c r="A28" s="159"/>
    </row>
    <row r="29" spans="1:18" s="452" customFormat="1">
      <c r="A29" s="459"/>
      <c r="E29" s="163"/>
      <c r="F29" s="163"/>
      <c r="G29" s="163"/>
      <c r="H29" s="163"/>
      <c r="I29" s="163"/>
      <c r="J29" s="163"/>
      <c r="K29" s="163"/>
      <c r="L29" s="163"/>
      <c r="M29" s="163"/>
      <c r="N29" s="163"/>
      <c r="O29" s="163"/>
      <c r="P29" s="163"/>
      <c r="Q29" s="163"/>
      <c r="R29" s="163"/>
    </row>
    <row r="30" spans="1:18" s="452" customFormat="1">
      <c r="A30" s="459"/>
      <c r="E30" s="163"/>
      <c r="F30" s="163"/>
      <c r="G30" s="163"/>
      <c r="H30" s="163"/>
      <c r="I30" s="163"/>
      <c r="J30" s="163"/>
      <c r="K30" s="163"/>
      <c r="L30" s="163"/>
      <c r="M30" s="163"/>
      <c r="N30" s="163"/>
      <c r="O30" s="163"/>
      <c r="P30" s="163"/>
      <c r="Q30" s="163"/>
      <c r="R30" s="163"/>
    </row>
    <row r="31" spans="1:18" s="452" customFormat="1">
      <c r="A31" s="159"/>
      <c r="E31" s="163"/>
      <c r="F31" s="163"/>
      <c r="G31" s="163"/>
      <c r="H31" s="163"/>
      <c r="I31" s="163"/>
      <c r="J31" s="163"/>
      <c r="K31" s="163"/>
      <c r="L31" s="163"/>
      <c r="M31" s="163"/>
      <c r="N31" s="163"/>
      <c r="O31" s="163"/>
      <c r="P31" s="163"/>
      <c r="Q31" s="163"/>
      <c r="R31" s="163"/>
    </row>
    <row r="32" spans="1:18" s="452" customFormat="1">
      <c r="A32" s="459"/>
      <c r="E32" s="163"/>
      <c r="F32" s="163"/>
      <c r="G32" s="163"/>
      <c r="H32" s="163"/>
      <c r="I32" s="163"/>
      <c r="J32" s="163"/>
      <c r="K32" s="163"/>
      <c r="L32" s="163"/>
      <c r="M32" s="163"/>
      <c r="N32" s="163"/>
      <c r="O32" s="163"/>
      <c r="P32" s="163"/>
      <c r="Q32" s="163"/>
      <c r="R32" s="163"/>
    </row>
    <row r="33" spans="1:18" s="452" customFormat="1">
      <c r="A33" s="459"/>
      <c r="E33" s="163"/>
      <c r="F33" s="163"/>
      <c r="G33" s="163"/>
      <c r="H33" s="163"/>
      <c r="I33" s="163"/>
      <c r="J33" s="163"/>
      <c r="K33" s="163"/>
      <c r="L33" s="163"/>
      <c r="M33" s="163"/>
      <c r="N33" s="163"/>
      <c r="O33" s="163"/>
      <c r="P33" s="163"/>
      <c r="Q33" s="163"/>
      <c r="R33" s="163"/>
    </row>
    <row r="34" spans="1:18" s="452" customFormat="1">
      <c r="A34" s="159"/>
      <c r="E34" s="163"/>
      <c r="F34" s="163"/>
      <c r="G34" s="163"/>
      <c r="H34" s="163"/>
      <c r="I34" s="163"/>
      <c r="J34" s="163"/>
      <c r="K34" s="163"/>
      <c r="L34" s="163"/>
      <c r="M34" s="163"/>
      <c r="N34" s="163"/>
      <c r="O34" s="163"/>
      <c r="P34" s="163"/>
      <c r="Q34" s="163"/>
      <c r="R34" s="163"/>
    </row>
    <row r="35" spans="1:18" s="452" customFormat="1">
      <c r="A35" s="459"/>
      <c r="E35" s="163"/>
      <c r="F35" s="163"/>
      <c r="G35" s="163"/>
      <c r="H35" s="163"/>
      <c r="I35" s="163"/>
      <c r="J35" s="163"/>
      <c r="K35" s="163"/>
      <c r="L35" s="163"/>
      <c r="M35" s="163"/>
      <c r="N35" s="163"/>
      <c r="O35" s="163"/>
      <c r="P35" s="163"/>
      <c r="Q35" s="163"/>
      <c r="R35" s="163"/>
    </row>
    <row r="36" spans="1:18" s="452" customFormat="1">
      <c r="A36" s="459"/>
      <c r="E36" s="163"/>
      <c r="F36" s="163"/>
      <c r="G36" s="163"/>
      <c r="H36" s="163"/>
      <c r="I36" s="163"/>
      <c r="J36" s="163"/>
      <c r="K36" s="163"/>
      <c r="L36" s="163"/>
      <c r="M36" s="163"/>
      <c r="N36" s="163"/>
      <c r="O36" s="163"/>
      <c r="P36" s="163"/>
      <c r="Q36" s="163"/>
      <c r="R36" s="163"/>
    </row>
    <row r="37" spans="1:18">
      <c r="A37" s="159"/>
      <c r="E37" s="59"/>
      <c r="F37" s="59"/>
      <c r="G37" s="59"/>
      <c r="H37" s="59"/>
      <c r="I37" s="59"/>
      <c r="J37" s="59"/>
      <c r="K37" s="59"/>
      <c r="L37" s="59"/>
      <c r="M37" s="59"/>
      <c r="N37" s="59"/>
      <c r="O37" s="59"/>
      <c r="P37" s="59"/>
      <c r="Q37" s="59"/>
      <c r="R37" s="59"/>
    </row>
    <row r="38" spans="1:18">
      <c r="A38" s="459"/>
      <c r="E38" s="59"/>
      <c r="F38" s="59"/>
      <c r="G38" s="59"/>
      <c r="H38" s="59"/>
      <c r="I38" s="59"/>
      <c r="J38" s="59"/>
      <c r="K38" s="59"/>
      <c r="L38" s="59"/>
      <c r="M38" s="59"/>
      <c r="N38" s="59"/>
      <c r="O38" s="59"/>
      <c r="P38" s="59"/>
      <c r="Q38" s="59"/>
      <c r="R38" s="59"/>
    </row>
    <row r="39" spans="1:18">
      <c r="E39" s="59"/>
      <c r="F39" s="59"/>
      <c r="G39" s="59"/>
      <c r="H39" s="59"/>
      <c r="I39" s="59"/>
      <c r="J39" s="59"/>
      <c r="K39" s="59"/>
      <c r="L39" s="59"/>
      <c r="M39" s="59"/>
      <c r="N39" s="59"/>
      <c r="O39" s="59"/>
      <c r="P39" s="59"/>
      <c r="Q39" s="59"/>
      <c r="R39" s="59"/>
    </row>
    <row r="40" spans="1:18">
      <c r="E40" s="59"/>
      <c r="F40" s="59"/>
      <c r="G40" s="59"/>
      <c r="H40" s="59"/>
      <c r="I40" s="59"/>
      <c r="J40" s="59"/>
      <c r="K40" s="59"/>
      <c r="L40" s="59"/>
      <c r="M40" s="59"/>
      <c r="N40" s="59"/>
      <c r="O40" s="59"/>
      <c r="P40" s="59"/>
      <c r="Q40" s="59"/>
      <c r="R40" s="59"/>
    </row>
    <row r="41" spans="1:18">
      <c r="E41" s="59"/>
      <c r="F41" s="59"/>
      <c r="G41" s="59"/>
      <c r="H41" s="59"/>
      <c r="I41" s="59"/>
      <c r="J41" s="59"/>
      <c r="K41" s="59"/>
      <c r="L41" s="59"/>
      <c r="M41" s="59"/>
      <c r="N41" s="59"/>
      <c r="O41" s="59"/>
      <c r="P41" s="59"/>
      <c r="Q41" s="59"/>
      <c r="R41" s="59"/>
    </row>
    <row r="42" spans="1:18">
      <c r="E42" s="59"/>
      <c r="F42" s="59"/>
      <c r="G42" s="59"/>
      <c r="H42" s="59"/>
      <c r="I42" s="59"/>
      <c r="J42" s="59"/>
      <c r="K42" s="59"/>
      <c r="L42" s="59"/>
      <c r="M42" s="59"/>
      <c r="N42" s="59"/>
      <c r="O42" s="59"/>
      <c r="P42" s="59"/>
      <c r="Q42" s="59"/>
      <c r="R42" s="59"/>
    </row>
  </sheetData>
  <mergeCells count="29">
    <mergeCell ref="A2:I2"/>
    <mergeCell ref="J2:Q2"/>
    <mergeCell ref="B4:I4"/>
    <mergeCell ref="J4:Q4"/>
    <mergeCell ref="A5:A6"/>
    <mergeCell ref="B5:E7"/>
    <mergeCell ref="F5:Q5"/>
    <mergeCell ref="F6:I6"/>
    <mergeCell ref="J6:M6"/>
    <mergeCell ref="N6:Q6"/>
    <mergeCell ref="E10:E11"/>
    <mergeCell ref="I10:I11"/>
    <mergeCell ref="M10:M11"/>
    <mergeCell ref="Q10:Q11"/>
    <mergeCell ref="F7:I7"/>
    <mergeCell ref="J7:M7"/>
    <mergeCell ref="N7:Q7"/>
    <mergeCell ref="E8:E9"/>
    <mergeCell ref="F8:H8"/>
    <mergeCell ref="I8:I9"/>
    <mergeCell ref="J8:L8"/>
    <mergeCell ref="M8:M9"/>
    <mergeCell ref="N8:P8"/>
    <mergeCell ref="Q8:Q9"/>
    <mergeCell ref="B9:D9"/>
    <mergeCell ref="F9:H9"/>
    <mergeCell ref="J9:L9"/>
    <mergeCell ref="N9:P9"/>
    <mergeCell ref="B8:D8"/>
  </mergeCells>
  <phoneticPr fontId="6" type="noConversion"/>
  <printOptions horizontalCentered="1"/>
  <pageMargins left="0.6692913385826772" right="0.6692913385826772" top="0.6692913385826772" bottom="0.6692913385826772" header="0.27559055118110237" footer="0.27559055118110237"/>
  <pageSetup paperSize="9" firstPageNumber="352" orientation="portrait" useFirstPageNumber="1" r:id="rId1"/>
  <headerFooter alignWithMargins="0"/>
  <colBreaks count="1" manualBreakCount="1">
    <brk id="9" max="1048575" man="1"/>
  </colBreak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工作表16"/>
  <dimension ref="A1:T42"/>
  <sheetViews>
    <sheetView showGridLines="0" view="pageBreakPreview" zoomScale="80" zoomScaleNormal="120" zoomScaleSheetLayoutView="80" workbookViewId="0">
      <pane xSplit="1" ySplit="11" topLeftCell="B18" activePane="bottomRight" state="frozen"/>
      <selection activeCell="H28" sqref="H28"/>
      <selection pane="topRight" activeCell="H28" sqref="H28"/>
      <selection pane="bottomLeft" activeCell="H28" sqref="H28"/>
      <selection pane="bottomRight" activeCell="M17" sqref="M17"/>
    </sheetView>
  </sheetViews>
  <sheetFormatPr defaultRowHeight="12.75"/>
  <cols>
    <col min="1" max="1" width="11.625" style="452" customWidth="1"/>
    <col min="2" max="9" width="9.5" style="8" customWidth="1"/>
    <col min="10" max="12" width="9.875" style="8" customWidth="1"/>
    <col min="13" max="13" width="20.625" style="8" customWidth="1"/>
    <col min="14" max="14" width="35.625" style="8" customWidth="1"/>
    <col min="15" max="15" width="10.75" style="8" customWidth="1"/>
    <col min="16" max="16" width="9" style="8" customWidth="1"/>
    <col min="17" max="20" width="9" style="8" hidden="1" customWidth="1"/>
    <col min="21" max="21" width="9" style="8" customWidth="1"/>
    <col min="22" max="16384" width="9" style="8"/>
  </cols>
  <sheetData>
    <row r="1" spans="1:17" s="452" customFormat="1" ht="18" customHeight="1">
      <c r="A1" s="90" t="s">
        <v>934</v>
      </c>
      <c r="B1" s="90"/>
      <c r="N1" s="459" t="s">
        <v>794</v>
      </c>
      <c r="O1" s="459"/>
    </row>
    <row r="2" spans="1:17" s="452" customFormat="1" ht="35.1" customHeight="1">
      <c r="A2" s="716" t="s">
        <v>1000</v>
      </c>
      <c r="B2" s="716"/>
      <c r="C2" s="716"/>
      <c r="D2" s="716"/>
      <c r="E2" s="716"/>
      <c r="F2" s="716"/>
      <c r="G2" s="716"/>
      <c r="H2" s="716"/>
      <c r="I2" s="716"/>
      <c r="J2" s="767" t="s">
        <v>795</v>
      </c>
      <c r="K2" s="767"/>
      <c r="L2" s="767"/>
      <c r="M2" s="767"/>
      <c r="N2" s="767"/>
      <c r="O2" s="97"/>
      <c r="P2" s="97"/>
      <c r="Q2" s="97"/>
    </row>
    <row r="3" spans="1:17" s="452" customFormat="1" ht="15" customHeight="1" thickBot="1">
      <c r="A3" s="467"/>
      <c r="I3" s="459" t="s">
        <v>1001</v>
      </c>
      <c r="N3" s="471" t="s">
        <v>796</v>
      </c>
      <c r="O3" s="475"/>
    </row>
    <row r="4" spans="1:17" s="452" customFormat="1" ht="18" customHeight="1">
      <c r="A4" s="474"/>
      <c r="B4" s="799" t="s">
        <v>612</v>
      </c>
      <c r="C4" s="800"/>
      <c r="D4" s="800"/>
      <c r="E4" s="800"/>
      <c r="F4" s="800"/>
      <c r="G4" s="800"/>
      <c r="H4" s="800"/>
      <c r="I4" s="801"/>
      <c r="J4" s="802" t="s">
        <v>1002</v>
      </c>
      <c r="K4" s="802"/>
      <c r="L4" s="802"/>
      <c r="M4" s="803"/>
      <c r="N4" s="804" t="s">
        <v>613</v>
      </c>
      <c r="O4" s="160"/>
    </row>
    <row r="5" spans="1:17" s="452" customFormat="1" ht="18" customHeight="1">
      <c r="A5" s="795" t="s">
        <v>614</v>
      </c>
      <c r="B5" s="806" t="s">
        <v>615</v>
      </c>
      <c r="C5" s="797"/>
      <c r="D5" s="797"/>
      <c r="E5" s="797"/>
      <c r="F5" s="797"/>
      <c r="G5" s="797"/>
      <c r="H5" s="797"/>
      <c r="I5" s="798"/>
      <c r="J5" s="773" t="s">
        <v>248</v>
      </c>
      <c r="K5" s="773"/>
      <c r="L5" s="773"/>
      <c r="M5" s="774"/>
      <c r="N5" s="805"/>
      <c r="O5" s="160"/>
    </row>
    <row r="6" spans="1:17" s="452" customFormat="1" ht="18" customHeight="1">
      <c r="A6" s="795"/>
      <c r="B6" s="740" t="s">
        <v>616</v>
      </c>
      <c r="C6" s="741"/>
      <c r="D6" s="741"/>
      <c r="E6" s="774"/>
      <c r="F6" s="736" t="s">
        <v>617</v>
      </c>
      <c r="G6" s="741"/>
      <c r="H6" s="741"/>
      <c r="I6" s="774"/>
      <c r="J6" s="738" t="s">
        <v>1003</v>
      </c>
      <c r="K6" s="738"/>
      <c r="L6" s="725"/>
      <c r="M6" s="723" t="s">
        <v>618</v>
      </c>
      <c r="N6" s="805"/>
      <c r="O6" s="160"/>
    </row>
    <row r="7" spans="1:17" s="452" customFormat="1" ht="18" customHeight="1">
      <c r="A7" s="473"/>
      <c r="B7" s="765" t="s">
        <v>619</v>
      </c>
      <c r="C7" s="730"/>
      <c r="D7" s="730"/>
      <c r="E7" s="731"/>
      <c r="F7" s="730" t="s">
        <v>620</v>
      </c>
      <c r="G7" s="730"/>
      <c r="H7" s="730"/>
      <c r="I7" s="731"/>
      <c r="J7" s="741"/>
      <c r="K7" s="741"/>
      <c r="L7" s="742"/>
      <c r="M7" s="756"/>
      <c r="N7" s="805"/>
      <c r="O7" s="457"/>
    </row>
    <row r="8" spans="1:17" s="452" customFormat="1" ht="18" customHeight="1">
      <c r="A8" s="473" t="s">
        <v>201</v>
      </c>
      <c r="B8" s="791" t="s">
        <v>621</v>
      </c>
      <c r="C8" s="792"/>
      <c r="D8" s="779"/>
      <c r="E8" s="724" t="s">
        <v>622</v>
      </c>
      <c r="F8" s="778" t="s">
        <v>621</v>
      </c>
      <c r="G8" s="792"/>
      <c r="H8" s="779"/>
      <c r="I8" s="724" t="s">
        <v>622</v>
      </c>
      <c r="J8" s="741" t="s">
        <v>249</v>
      </c>
      <c r="K8" s="741"/>
      <c r="L8" s="742"/>
      <c r="M8" s="756" t="s">
        <v>250</v>
      </c>
      <c r="N8" s="736" t="s">
        <v>251</v>
      </c>
      <c r="O8" s="457"/>
    </row>
    <row r="9" spans="1:17" s="452" customFormat="1" ht="18" customHeight="1">
      <c r="A9" s="473"/>
      <c r="B9" s="765" t="s">
        <v>219</v>
      </c>
      <c r="C9" s="730"/>
      <c r="D9" s="731"/>
      <c r="E9" s="758"/>
      <c r="F9" s="727" t="s">
        <v>219</v>
      </c>
      <c r="G9" s="730"/>
      <c r="H9" s="731"/>
      <c r="I9" s="758"/>
      <c r="J9" s="730"/>
      <c r="K9" s="730"/>
      <c r="L9" s="731"/>
      <c r="M9" s="756"/>
      <c r="N9" s="736"/>
      <c r="O9" s="457"/>
    </row>
    <row r="10" spans="1:17" s="452" customFormat="1" ht="18" customHeight="1">
      <c r="A10" s="473"/>
      <c r="B10" s="161" t="s">
        <v>623</v>
      </c>
      <c r="C10" s="460" t="s">
        <v>624</v>
      </c>
      <c r="D10" s="460" t="s">
        <v>625</v>
      </c>
      <c r="E10" s="756" t="s">
        <v>246</v>
      </c>
      <c r="F10" s="460" t="s">
        <v>623</v>
      </c>
      <c r="G10" s="460" t="s">
        <v>624</v>
      </c>
      <c r="H10" s="460" t="s">
        <v>625</v>
      </c>
      <c r="I10" s="756" t="s">
        <v>246</v>
      </c>
      <c r="J10" s="468" t="s">
        <v>623</v>
      </c>
      <c r="K10" s="460" t="s">
        <v>624</v>
      </c>
      <c r="L10" s="460" t="s">
        <v>625</v>
      </c>
      <c r="M10" s="756"/>
      <c r="N10" s="736"/>
      <c r="O10" s="457"/>
    </row>
    <row r="11" spans="1:17" s="457" customFormat="1" ht="18" customHeight="1" thickBot="1">
      <c r="A11" s="451"/>
      <c r="B11" s="463" t="s">
        <v>247</v>
      </c>
      <c r="C11" s="462" t="s">
        <v>158</v>
      </c>
      <c r="D11" s="462" t="s">
        <v>159</v>
      </c>
      <c r="E11" s="757"/>
      <c r="F11" s="462" t="s">
        <v>247</v>
      </c>
      <c r="G11" s="462" t="s">
        <v>158</v>
      </c>
      <c r="H11" s="462" t="s">
        <v>159</v>
      </c>
      <c r="I11" s="757"/>
      <c r="J11" s="464" t="s">
        <v>247</v>
      </c>
      <c r="K11" s="462" t="s">
        <v>158</v>
      </c>
      <c r="L11" s="462" t="s">
        <v>159</v>
      </c>
      <c r="M11" s="757"/>
      <c r="N11" s="763"/>
      <c r="Q11" s="457" t="s">
        <v>1148</v>
      </c>
    </row>
    <row r="12" spans="1:17" ht="55.9" customHeight="1">
      <c r="A12" s="118" t="s">
        <v>467</v>
      </c>
      <c r="B12" s="24">
        <f t="shared" ref="B12:B21" si="0">SUM(C12:D12)</f>
        <v>4353</v>
      </c>
      <c r="C12" s="24">
        <v>1896</v>
      </c>
      <c r="D12" s="24">
        <v>2457</v>
      </c>
      <c r="E12" s="24">
        <v>311514</v>
      </c>
      <c r="F12" s="24">
        <f t="shared" ref="F12:F21" si="1">SUM(G12:H12)</f>
        <v>2134</v>
      </c>
      <c r="G12" s="24">
        <v>1414</v>
      </c>
      <c r="H12" s="24">
        <v>720</v>
      </c>
      <c r="I12" s="24">
        <v>75906</v>
      </c>
      <c r="J12" s="48">
        <f>K12+L12</f>
        <v>35347</v>
      </c>
      <c r="K12" s="48">
        <v>16351</v>
      </c>
      <c r="L12" s="48">
        <v>18996</v>
      </c>
      <c r="M12" s="48">
        <v>2555354</v>
      </c>
      <c r="N12" s="33">
        <f>(J12+'11-10 '!B12)/'11-10續 '!Q12*100</f>
        <v>26.089104325542621</v>
      </c>
      <c r="O12" s="33"/>
      <c r="Q12" s="8">
        <v>161945</v>
      </c>
    </row>
    <row r="13" spans="1:17" ht="55.9" customHeight="1">
      <c r="A13" s="118" t="s">
        <v>468</v>
      </c>
      <c r="B13" s="24">
        <f t="shared" si="0"/>
        <v>4272</v>
      </c>
      <c r="C13" s="24">
        <v>1815</v>
      </c>
      <c r="D13" s="24">
        <v>2457</v>
      </c>
      <c r="E13" s="24">
        <v>308820</v>
      </c>
      <c r="F13" s="24">
        <f t="shared" si="1"/>
        <v>2003</v>
      </c>
      <c r="G13" s="24">
        <v>1316</v>
      </c>
      <c r="H13" s="24">
        <v>687</v>
      </c>
      <c r="I13" s="24">
        <v>72903</v>
      </c>
      <c r="J13" s="48">
        <f t="shared" ref="J13:J19" si="2">K13+L13</f>
        <v>34655</v>
      </c>
      <c r="K13" s="48">
        <v>15945</v>
      </c>
      <c r="L13" s="48">
        <v>18710</v>
      </c>
      <c r="M13" s="48">
        <v>2520068</v>
      </c>
      <c r="N13" s="33">
        <f>(J13+'11-10 '!B13)/'11-10續 '!Q13*100</f>
        <v>25.060600184224558</v>
      </c>
      <c r="O13" s="33"/>
      <c r="Q13" s="8">
        <v>165016</v>
      </c>
    </row>
    <row r="14" spans="1:17" ht="55.9" customHeight="1">
      <c r="A14" s="118" t="s">
        <v>469</v>
      </c>
      <c r="B14" s="24">
        <f t="shared" si="0"/>
        <v>4227</v>
      </c>
      <c r="C14" s="24">
        <v>1791</v>
      </c>
      <c r="D14" s="24">
        <v>2436</v>
      </c>
      <c r="E14" s="24">
        <v>302610</v>
      </c>
      <c r="F14" s="24">
        <f t="shared" si="1"/>
        <v>1995</v>
      </c>
      <c r="G14" s="24">
        <v>1279</v>
      </c>
      <c r="H14" s="24">
        <v>716</v>
      </c>
      <c r="I14" s="24">
        <v>71622</v>
      </c>
      <c r="J14" s="48">
        <f t="shared" si="2"/>
        <v>33879</v>
      </c>
      <c r="K14" s="48">
        <v>15425</v>
      </c>
      <c r="L14" s="48">
        <v>18454</v>
      </c>
      <c r="M14" s="48">
        <v>2462242</v>
      </c>
      <c r="N14" s="33">
        <f>(J14+'11-10 '!B14)/'11-10續 '!Q14*100</f>
        <v>24.030966364121731</v>
      </c>
      <c r="O14" s="33"/>
      <c r="Q14" s="8">
        <v>168570</v>
      </c>
    </row>
    <row r="15" spans="1:17" ht="55.9" customHeight="1">
      <c r="A15" s="118" t="s">
        <v>470</v>
      </c>
      <c r="B15" s="24">
        <f t="shared" si="0"/>
        <v>4145</v>
      </c>
      <c r="C15" s="24">
        <v>1748</v>
      </c>
      <c r="D15" s="24">
        <v>2397</v>
      </c>
      <c r="E15" s="24">
        <v>355500</v>
      </c>
      <c r="F15" s="24">
        <f t="shared" si="1"/>
        <v>1919</v>
      </c>
      <c r="G15" s="24">
        <v>1172</v>
      </c>
      <c r="H15" s="24">
        <v>747</v>
      </c>
      <c r="I15" s="24">
        <v>82602</v>
      </c>
      <c r="J15" s="48">
        <f t="shared" si="2"/>
        <v>33078</v>
      </c>
      <c r="K15" s="48">
        <v>14941</v>
      </c>
      <c r="L15" s="48">
        <v>18137</v>
      </c>
      <c r="M15" s="48">
        <v>2775051</v>
      </c>
      <c r="N15" s="33">
        <f>(J15+'11-10 '!B15)/'11-10續 '!Q15*100</f>
        <v>22.68084422664203</v>
      </c>
      <c r="O15" s="33"/>
      <c r="Q15" s="8">
        <v>174266</v>
      </c>
    </row>
    <row r="16" spans="1:17" ht="55.9" customHeight="1">
      <c r="A16" s="118" t="s">
        <v>471</v>
      </c>
      <c r="B16" s="29">
        <f t="shared" si="0"/>
        <v>3880</v>
      </c>
      <c r="C16" s="24">
        <v>1633</v>
      </c>
      <c r="D16" s="24">
        <v>2247</v>
      </c>
      <c r="E16" s="24">
        <v>336708</v>
      </c>
      <c r="F16" s="24">
        <f t="shared" si="1"/>
        <v>2046</v>
      </c>
      <c r="G16" s="24">
        <v>1183</v>
      </c>
      <c r="H16" s="24">
        <v>863</v>
      </c>
      <c r="I16" s="24">
        <v>87757</v>
      </c>
      <c r="J16" s="48">
        <f t="shared" si="2"/>
        <v>32219</v>
      </c>
      <c r="K16" s="48">
        <v>14390</v>
      </c>
      <c r="L16" s="48">
        <v>17829</v>
      </c>
      <c r="M16" s="48">
        <v>2740269</v>
      </c>
      <c r="N16" s="33">
        <v>21.19</v>
      </c>
      <c r="O16" s="33"/>
      <c r="Q16" s="8">
        <v>181860</v>
      </c>
    </row>
    <row r="17" spans="1:20" ht="55.9" customHeight="1">
      <c r="A17" s="118" t="s">
        <v>472</v>
      </c>
      <c r="B17" s="47">
        <f t="shared" si="0"/>
        <v>3946</v>
      </c>
      <c r="C17" s="48">
        <v>1678</v>
      </c>
      <c r="D17" s="48">
        <v>2268</v>
      </c>
      <c r="E17" s="48">
        <v>342410</v>
      </c>
      <c r="F17" s="48">
        <f t="shared" si="1"/>
        <v>1800</v>
      </c>
      <c r="G17" s="48">
        <v>1014</v>
      </c>
      <c r="H17" s="48">
        <v>786</v>
      </c>
      <c r="I17" s="48">
        <v>78401</v>
      </c>
      <c r="J17" s="48">
        <f t="shared" si="2"/>
        <v>31107</v>
      </c>
      <c r="K17" s="48">
        <v>13775</v>
      </c>
      <c r="L17" s="48">
        <v>17332</v>
      </c>
      <c r="M17" s="48">
        <v>2654989</v>
      </c>
      <c r="N17" s="33">
        <f>(J17+'11-10 '!B17)/'11-10續 '!Q17*100</f>
        <v>19.448301059554257</v>
      </c>
      <c r="O17" s="33"/>
      <c r="Q17" s="8">
        <v>191590</v>
      </c>
    </row>
    <row r="18" spans="1:20" s="11" customFormat="1" ht="55.9" customHeight="1">
      <c r="A18" s="118" t="s">
        <v>473</v>
      </c>
      <c r="B18" s="47">
        <f t="shared" si="0"/>
        <v>4480</v>
      </c>
      <c r="C18" s="24">
        <v>1908</v>
      </c>
      <c r="D18" s="24">
        <v>2572</v>
      </c>
      <c r="E18" s="24">
        <f>383580000/1000</f>
        <v>383580</v>
      </c>
      <c r="F18" s="48">
        <f t="shared" si="1"/>
        <v>1173</v>
      </c>
      <c r="G18" s="24">
        <v>715</v>
      </c>
      <c r="H18" s="24">
        <v>458</v>
      </c>
      <c r="I18" s="24">
        <f>50655600/1000</f>
        <v>50655.6</v>
      </c>
      <c r="J18" s="48">
        <f t="shared" si="2"/>
        <v>30084</v>
      </c>
      <c r="K18" s="489">
        <v>13249</v>
      </c>
      <c r="L18" s="489">
        <v>16835</v>
      </c>
      <c r="M18" s="24">
        <f>2566265242/1000</f>
        <v>2566265.2420000001</v>
      </c>
      <c r="N18" s="33">
        <f>(J18+'11-10 '!B18)/'11-10續 '!Q18*100</f>
        <v>17.763099739724009</v>
      </c>
      <c r="O18" s="33"/>
      <c r="Q18" s="56">
        <v>203630</v>
      </c>
    </row>
    <row r="19" spans="1:20" s="11" customFormat="1" ht="55.9" customHeight="1">
      <c r="A19" s="118" t="s">
        <v>749</v>
      </c>
      <c r="B19" s="47">
        <f t="shared" si="0"/>
        <v>4814</v>
      </c>
      <c r="C19" s="24">
        <v>2020</v>
      </c>
      <c r="D19" s="24">
        <v>2794</v>
      </c>
      <c r="E19" s="24">
        <f>420211678/1000</f>
        <v>420211.67800000001</v>
      </c>
      <c r="F19" s="48">
        <f t="shared" si="1"/>
        <v>999</v>
      </c>
      <c r="G19" s="24">
        <v>614</v>
      </c>
      <c r="H19" s="24">
        <v>385</v>
      </c>
      <c r="I19" s="24">
        <f>43809402/1000</f>
        <v>43809.402000000002</v>
      </c>
      <c r="J19" s="24">
        <f t="shared" si="2"/>
        <v>29073</v>
      </c>
      <c r="K19" s="489">
        <v>12673</v>
      </c>
      <c r="L19" s="489">
        <v>16400</v>
      </c>
      <c r="M19" s="24">
        <f>2557693312/1000</f>
        <v>2557693.3119999999</v>
      </c>
      <c r="N19" s="33">
        <f>(J19+'11-10 '!B19)/'11-10續 '!Q19*100</f>
        <v>16.130340663096728</v>
      </c>
      <c r="O19" s="33"/>
      <c r="Q19" s="11">
        <v>219425</v>
      </c>
    </row>
    <row r="20" spans="1:20" s="11" customFormat="1" ht="55.9" customHeight="1">
      <c r="A20" s="118" t="s">
        <v>1042</v>
      </c>
      <c r="B20" s="47">
        <f t="shared" ref="B20" si="3">SUM(C20:D20)</f>
        <v>4984</v>
      </c>
      <c r="C20" s="24">
        <v>2072</v>
      </c>
      <c r="D20" s="24">
        <v>2912</v>
      </c>
      <c r="E20" s="24">
        <f>434309285/1000</f>
        <v>434309.28499999997</v>
      </c>
      <c r="F20" s="48">
        <f t="shared" ref="F20" si="4">SUM(G20:H20)</f>
        <v>1137</v>
      </c>
      <c r="G20" s="24">
        <v>643</v>
      </c>
      <c r="H20" s="24">
        <v>494</v>
      </c>
      <c r="I20" s="24">
        <f>49055188/1000</f>
        <v>49055.188000000002</v>
      </c>
      <c r="J20" s="24">
        <f t="shared" ref="J20:J21" si="5">K20+L20</f>
        <v>28080</v>
      </c>
      <c r="K20" s="489">
        <v>12141</v>
      </c>
      <c r="L20" s="489">
        <v>15939</v>
      </c>
      <c r="M20" s="48">
        <f>2478327524/1000</f>
        <v>2478327.5240000002</v>
      </c>
      <c r="N20" s="33">
        <f>(J20+'11-10 '!B20)/'11-10續 '!Q20*100</f>
        <v>14.731106252436399</v>
      </c>
      <c r="O20" s="33"/>
      <c r="Q20" s="11">
        <v>236004</v>
      </c>
      <c r="T20" s="81">
        <f>J21+'11-10 '!B21</f>
        <v>34349</v>
      </c>
    </row>
    <row r="21" spans="1:20" s="58" customFormat="1" ht="49.5" customHeight="1" thickBot="1">
      <c r="A21" s="507" t="s">
        <v>1235</v>
      </c>
      <c r="B21" s="344">
        <f t="shared" si="0"/>
        <v>5329</v>
      </c>
      <c r="C21" s="343">
        <v>2233</v>
      </c>
      <c r="D21" s="343">
        <v>3096</v>
      </c>
      <c r="E21" s="343">
        <f>457802809/1000</f>
        <v>457802.80900000001</v>
      </c>
      <c r="F21" s="343">
        <f t="shared" si="1"/>
        <v>1326</v>
      </c>
      <c r="G21" s="343">
        <v>722</v>
      </c>
      <c r="H21" s="343">
        <v>604</v>
      </c>
      <c r="I21" s="343">
        <f>55729947/1000</f>
        <v>55729.947</v>
      </c>
      <c r="J21" s="343">
        <f t="shared" si="5"/>
        <v>27062</v>
      </c>
      <c r="K21" s="499">
        <v>11598</v>
      </c>
      <c r="L21" s="499">
        <v>15464</v>
      </c>
      <c r="M21" s="343">
        <f>2386745104/1000</f>
        <v>2386745.1039999998</v>
      </c>
      <c r="N21" s="342">
        <f>(J21+'11-10 '!B21)/'11-10續 '!Q21*100</f>
        <v>13.565259287635312</v>
      </c>
      <c r="Q21" s="58" t="s">
        <v>1236</v>
      </c>
    </row>
    <row r="22" spans="1:20" s="58" customFormat="1" ht="15" customHeight="1">
      <c r="A22" s="158"/>
      <c r="B22" s="57"/>
      <c r="C22" s="57"/>
      <c r="D22" s="57"/>
    </row>
    <row r="23" spans="1:20" ht="15" customHeight="1">
      <c r="A23" s="158"/>
      <c r="B23" s="57"/>
      <c r="C23" s="57"/>
      <c r="D23" s="57"/>
      <c r="E23" s="58"/>
      <c r="F23" s="58"/>
      <c r="G23" s="58"/>
      <c r="H23" s="58"/>
      <c r="I23" s="58"/>
      <c r="J23" s="58"/>
      <c r="K23" s="58"/>
      <c r="L23" s="58"/>
      <c r="M23" s="58"/>
      <c r="N23" s="58"/>
    </row>
    <row r="24" spans="1:20">
      <c r="B24" s="57"/>
      <c r="C24" s="57"/>
      <c r="D24" s="57"/>
    </row>
    <row r="27" spans="1:20" s="59" customFormat="1">
      <c r="A27" s="452"/>
      <c r="B27" s="8"/>
      <c r="C27" s="8"/>
      <c r="D27" s="8"/>
      <c r="E27" s="8"/>
      <c r="F27" s="8"/>
      <c r="G27" s="8"/>
      <c r="H27" s="8"/>
      <c r="I27" s="8"/>
      <c r="J27" s="8"/>
      <c r="K27" s="8"/>
      <c r="L27" s="8"/>
      <c r="M27" s="8"/>
      <c r="N27" s="8"/>
    </row>
    <row r="28" spans="1:20">
      <c r="A28" s="159"/>
      <c r="B28" s="59"/>
      <c r="C28" s="59"/>
      <c r="D28" s="59"/>
      <c r="E28" s="59"/>
      <c r="F28" s="59"/>
      <c r="G28" s="59"/>
      <c r="H28" s="59"/>
      <c r="I28" s="59"/>
      <c r="J28" s="59"/>
      <c r="K28" s="59"/>
      <c r="L28" s="59"/>
      <c r="M28" s="59"/>
      <c r="N28" s="59"/>
      <c r="O28" s="59"/>
      <c r="P28" s="59"/>
      <c r="Q28" s="59"/>
      <c r="R28" s="59"/>
    </row>
    <row r="29" spans="1:20">
      <c r="A29" s="459"/>
      <c r="B29" s="59"/>
      <c r="C29" s="59"/>
      <c r="D29" s="59"/>
      <c r="E29" s="59"/>
      <c r="F29" s="59"/>
      <c r="G29" s="59"/>
      <c r="H29" s="59"/>
      <c r="I29" s="59"/>
      <c r="J29" s="59"/>
      <c r="K29" s="59"/>
      <c r="L29" s="59"/>
      <c r="M29" s="59"/>
      <c r="N29" s="59"/>
      <c r="O29" s="59"/>
      <c r="P29" s="59"/>
      <c r="Q29" s="59"/>
      <c r="R29" s="59"/>
    </row>
    <row r="30" spans="1:20">
      <c r="A30" s="459"/>
      <c r="B30" s="59"/>
      <c r="C30" s="59"/>
      <c r="D30" s="59"/>
      <c r="E30" s="59"/>
      <c r="F30" s="59"/>
      <c r="G30" s="59"/>
      <c r="H30" s="59"/>
      <c r="I30" s="59"/>
      <c r="J30" s="59"/>
      <c r="K30" s="59"/>
      <c r="L30" s="59"/>
      <c r="M30" s="59"/>
      <c r="N30" s="59"/>
      <c r="O30" s="59"/>
      <c r="P30" s="59"/>
      <c r="Q30" s="59"/>
      <c r="R30" s="59"/>
    </row>
    <row r="31" spans="1:20">
      <c r="A31" s="159"/>
      <c r="B31" s="59"/>
      <c r="C31" s="59"/>
      <c r="D31" s="59"/>
      <c r="E31" s="59"/>
      <c r="F31" s="59"/>
      <c r="G31" s="59"/>
      <c r="H31" s="59"/>
      <c r="I31" s="59"/>
      <c r="J31" s="59"/>
      <c r="K31" s="59"/>
      <c r="L31" s="59"/>
      <c r="M31" s="59"/>
      <c r="N31" s="59"/>
      <c r="O31" s="59"/>
      <c r="P31" s="59"/>
      <c r="Q31" s="59"/>
      <c r="R31" s="59"/>
    </row>
    <row r="32" spans="1:20">
      <c r="A32" s="459"/>
      <c r="B32" s="59"/>
      <c r="C32" s="59"/>
      <c r="D32" s="59"/>
      <c r="E32" s="59"/>
      <c r="F32" s="59"/>
      <c r="G32" s="59"/>
      <c r="H32" s="59"/>
      <c r="I32" s="59"/>
      <c r="J32" s="59"/>
      <c r="K32" s="59"/>
      <c r="L32" s="59"/>
      <c r="M32" s="59"/>
      <c r="N32" s="59"/>
      <c r="O32" s="59"/>
      <c r="P32" s="59"/>
      <c r="Q32" s="59"/>
      <c r="R32" s="59"/>
    </row>
    <row r="33" spans="1:18">
      <c r="A33" s="459"/>
      <c r="B33" s="59"/>
      <c r="C33" s="59"/>
      <c r="D33" s="59"/>
      <c r="E33" s="59"/>
      <c r="F33" s="59"/>
      <c r="G33" s="59"/>
      <c r="H33" s="59"/>
      <c r="I33" s="59"/>
      <c r="J33" s="59"/>
      <c r="K33" s="59"/>
      <c r="L33" s="59"/>
      <c r="M33" s="59"/>
      <c r="N33" s="59"/>
      <c r="O33" s="59"/>
      <c r="P33" s="59"/>
      <c r="Q33" s="59"/>
      <c r="R33" s="59"/>
    </row>
    <row r="34" spans="1:18">
      <c r="A34" s="159"/>
      <c r="B34" s="59"/>
      <c r="C34" s="59"/>
      <c r="D34" s="59"/>
      <c r="E34" s="59"/>
      <c r="F34" s="59"/>
      <c r="G34" s="59"/>
      <c r="H34" s="59"/>
      <c r="I34" s="59"/>
      <c r="J34" s="59"/>
      <c r="K34" s="59"/>
      <c r="L34" s="59"/>
      <c r="M34" s="59"/>
      <c r="N34" s="59"/>
      <c r="O34" s="59"/>
      <c r="P34" s="59"/>
      <c r="Q34" s="59"/>
      <c r="R34" s="59"/>
    </row>
    <row r="35" spans="1:18">
      <c r="A35" s="459"/>
      <c r="B35" s="59"/>
      <c r="C35" s="59"/>
      <c r="D35" s="59"/>
      <c r="E35" s="59"/>
      <c r="F35" s="59"/>
      <c r="G35" s="59"/>
      <c r="H35" s="59"/>
      <c r="I35" s="59"/>
      <c r="J35" s="59"/>
      <c r="K35" s="59"/>
      <c r="L35" s="59"/>
      <c r="M35" s="59"/>
      <c r="N35" s="59"/>
      <c r="O35" s="59"/>
      <c r="P35" s="59"/>
      <c r="Q35" s="59"/>
      <c r="R35" s="59"/>
    </row>
    <row r="36" spans="1:18">
      <c r="A36" s="459"/>
      <c r="B36" s="59"/>
      <c r="C36" s="59"/>
      <c r="D36" s="59"/>
      <c r="E36" s="59"/>
      <c r="F36" s="59"/>
      <c r="G36" s="59"/>
      <c r="H36" s="59"/>
      <c r="I36" s="59"/>
      <c r="J36" s="59"/>
      <c r="K36" s="59"/>
      <c r="L36" s="59"/>
      <c r="M36" s="59"/>
      <c r="N36" s="59"/>
      <c r="P36" s="59"/>
      <c r="Q36" s="59"/>
      <c r="R36" s="59"/>
    </row>
    <row r="37" spans="1:18">
      <c r="A37" s="159"/>
      <c r="B37" s="59"/>
      <c r="C37" s="59"/>
      <c r="D37" s="59"/>
      <c r="E37" s="59"/>
      <c r="F37" s="59"/>
      <c r="G37" s="59"/>
      <c r="H37" s="59"/>
      <c r="I37" s="59"/>
      <c r="J37" s="59"/>
      <c r="K37" s="59"/>
      <c r="L37" s="59"/>
      <c r="M37" s="59"/>
      <c r="O37" s="59"/>
      <c r="P37" s="59"/>
      <c r="Q37" s="59"/>
      <c r="R37" s="59"/>
    </row>
    <row r="38" spans="1:18">
      <c r="A38" s="459"/>
      <c r="B38" s="59"/>
      <c r="C38" s="59"/>
      <c r="D38" s="59"/>
      <c r="E38" s="59"/>
      <c r="F38" s="59"/>
      <c r="G38" s="59"/>
      <c r="H38" s="59"/>
      <c r="I38" s="59"/>
      <c r="J38" s="59"/>
      <c r="K38" s="59"/>
      <c r="L38" s="59"/>
      <c r="M38" s="59"/>
      <c r="N38" s="59"/>
      <c r="O38" s="59"/>
      <c r="P38" s="59"/>
      <c r="Q38" s="59"/>
      <c r="R38" s="59"/>
    </row>
    <row r="39" spans="1:18">
      <c r="B39" s="59"/>
      <c r="C39" s="59"/>
      <c r="D39" s="59"/>
      <c r="E39" s="59"/>
      <c r="F39" s="59"/>
      <c r="G39" s="59"/>
      <c r="H39" s="59"/>
      <c r="I39" s="59"/>
      <c r="J39" s="59"/>
      <c r="K39" s="59"/>
      <c r="L39" s="59"/>
      <c r="M39" s="59"/>
      <c r="N39" s="59"/>
      <c r="O39" s="59"/>
      <c r="P39" s="59"/>
      <c r="Q39" s="59"/>
      <c r="R39" s="59"/>
    </row>
    <row r="40" spans="1:18">
      <c r="B40" s="59"/>
      <c r="C40" s="59"/>
      <c r="D40" s="59"/>
      <c r="E40" s="59"/>
      <c r="F40" s="59"/>
      <c r="G40" s="59"/>
      <c r="H40" s="59"/>
      <c r="I40" s="59"/>
      <c r="J40" s="59"/>
      <c r="K40" s="59"/>
      <c r="L40" s="59"/>
      <c r="M40" s="59"/>
      <c r="N40" s="59"/>
      <c r="O40" s="59"/>
      <c r="P40" s="59"/>
      <c r="Q40" s="59"/>
      <c r="R40" s="59"/>
    </row>
    <row r="41" spans="1:18">
      <c r="B41" s="59"/>
      <c r="C41" s="59"/>
      <c r="D41" s="59"/>
      <c r="E41" s="59"/>
      <c r="F41" s="59"/>
      <c r="G41" s="59"/>
      <c r="H41" s="59"/>
      <c r="I41" s="59"/>
      <c r="J41" s="59"/>
      <c r="K41" s="59"/>
      <c r="L41" s="59"/>
      <c r="M41" s="59"/>
      <c r="N41" s="59"/>
      <c r="O41" s="59"/>
      <c r="P41" s="59"/>
      <c r="Q41" s="59"/>
      <c r="R41" s="59"/>
    </row>
    <row r="42" spans="1:18">
      <c r="B42" s="59"/>
      <c r="C42" s="59"/>
      <c r="D42" s="59"/>
      <c r="E42" s="59"/>
      <c r="F42" s="59"/>
      <c r="G42" s="59"/>
      <c r="H42" s="59"/>
      <c r="I42" s="59"/>
      <c r="J42" s="59"/>
      <c r="K42" s="59"/>
      <c r="L42" s="59"/>
      <c r="M42" s="59"/>
      <c r="N42" s="59"/>
    </row>
  </sheetData>
  <mergeCells count="25">
    <mergeCell ref="A5:A6"/>
    <mergeCell ref="B5:I5"/>
    <mergeCell ref="B8:D8"/>
    <mergeCell ref="E8:E9"/>
    <mergeCell ref="F8:H8"/>
    <mergeCell ref="I8:I9"/>
    <mergeCell ref="B7:E7"/>
    <mergeCell ref="B9:D9"/>
    <mergeCell ref="F6:I6"/>
    <mergeCell ref="A2:I2"/>
    <mergeCell ref="J8:L9"/>
    <mergeCell ref="J2:N2"/>
    <mergeCell ref="B4:I4"/>
    <mergeCell ref="J4:M4"/>
    <mergeCell ref="N4:N7"/>
    <mergeCell ref="J5:M5"/>
    <mergeCell ref="M8:M11"/>
    <mergeCell ref="B6:E6"/>
    <mergeCell ref="N8:N11"/>
    <mergeCell ref="E10:E11"/>
    <mergeCell ref="J6:L7"/>
    <mergeCell ref="M6:M7"/>
    <mergeCell ref="F7:I7"/>
    <mergeCell ref="F9:H9"/>
    <mergeCell ref="I10:I11"/>
  </mergeCells>
  <phoneticPr fontId="6" type="noConversion"/>
  <printOptions horizontalCentered="1"/>
  <pageMargins left="0.6692913385826772" right="0.6692913385826772" top="0.6692913385826772" bottom="0.6692913385826772" header="0.27559055118110237" footer="0.27559055118110237"/>
  <pageSetup paperSize="9" firstPageNumber="352" orientation="portrait" useFirstPageNumber="1" r:id="rId1"/>
  <headerFooter alignWithMargins="0"/>
  <colBreaks count="1" manualBreakCount="1">
    <brk id="9" max="22" man="1"/>
  </colBreaks>
  <legacy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工作表17"/>
  <dimension ref="A1:M29"/>
  <sheetViews>
    <sheetView showGridLines="0" view="pageBreakPreview" zoomScale="70" zoomScaleNormal="120" zoomScaleSheetLayoutView="70" workbookViewId="0">
      <pane xSplit="1" ySplit="10" topLeftCell="B14" activePane="bottomRight" state="frozen"/>
      <selection activeCell="H28" sqref="H28"/>
      <selection pane="topRight" activeCell="H28" sqref="H28"/>
      <selection pane="bottomLeft" activeCell="H28" sqref="H28"/>
      <selection pane="bottomRight" activeCell="F16" sqref="F16"/>
    </sheetView>
  </sheetViews>
  <sheetFormatPr defaultRowHeight="12.75"/>
  <cols>
    <col min="1" max="1" width="10" style="452" customWidth="1"/>
    <col min="2" max="6" width="7.75" style="8" customWidth="1"/>
    <col min="7" max="7" width="8" style="8" customWidth="1"/>
    <col min="8" max="9" width="7.75" style="8" customWidth="1"/>
    <col min="10" max="10" width="7.75" style="31" customWidth="1"/>
    <col min="11" max="11" width="7.75" style="8" customWidth="1"/>
    <col min="12" max="12" width="9" style="8"/>
    <col min="13" max="13" width="9" style="8" customWidth="1"/>
    <col min="14" max="16384" width="9" style="8"/>
  </cols>
  <sheetData>
    <row r="1" spans="1:13" s="452" customFormat="1" ht="18" customHeight="1">
      <c r="A1" s="90" t="s">
        <v>934</v>
      </c>
      <c r="I1" s="768"/>
      <c r="J1" s="768"/>
    </row>
    <row r="2" spans="1:13" s="452" customFormat="1" ht="24.95" customHeight="1">
      <c r="A2" s="716" t="s">
        <v>994</v>
      </c>
      <c r="B2" s="716"/>
      <c r="C2" s="716"/>
      <c r="D2" s="716"/>
      <c r="E2" s="716"/>
      <c r="F2" s="716"/>
      <c r="G2" s="716"/>
      <c r="H2" s="716"/>
      <c r="I2" s="716"/>
      <c r="J2" s="716"/>
      <c r="K2" s="716"/>
    </row>
    <row r="3" spans="1:13" s="452" customFormat="1" ht="21.95" customHeight="1">
      <c r="A3" s="716" t="s">
        <v>252</v>
      </c>
      <c r="B3" s="716"/>
      <c r="C3" s="716"/>
      <c r="D3" s="716"/>
      <c r="E3" s="716"/>
      <c r="F3" s="716"/>
      <c r="G3" s="716"/>
      <c r="H3" s="716"/>
      <c r="I3" s="716"/>
      <c r="J3" s="716"/>
      <c r="K3" s="716"/>
    </row>
    <row r="4" spans="1:13" s="452" customFormat="1" ht="15" customHeight="1">
      <c r="A4" s="467"/>
      <c r="B4" s="467"/>
      <c r="C4" s="467"/>
      <c r="H4" s="807" t="s">
        <v>995</v>
      </c>
      <c r="I4" s="807"/>
      <c r="J4" s="807"/>
      <c r="K4" s="807"/>
    </row>
    <row r="5" spans="1:13" s="452" customFormat="1" ht="15" customHeight="1" thickBot="1">
      <c r="A5" s="91"/>
      <c r="B5" s="91"/>
      <c r="C5" s="91"/>
      <c r="D5" s="91"/>
      <c r="E5" s="91"/>
      <c r="F5" s="91"/>
      <c r="G5" s="467"/>
      <c r="H5" s="789" t="s">
        <v>253</v>
      </c>
      <c r="I5" s="789"/>
      <c r="J5" s="789"/>
      <c r="K5" s="789"/>
    </row>
    <row r="6" spans="1:13" s="452" customFormat="1" ht="18" customHeight="1">
      <c r="A6" s="808" t="s">
        <v>453</v>
      </c>
      <c r="B6" s="720" t="s">
        <v>996</v>
      </c>
      <c r="C6" s="722"/>
      <c r="D6" s="735" t="s">
        <v>997</v>
      </c>
      <c r="E6" s="722"/>
      <c r="F6" s="790" t="s">
        <v>609</v>
      </c>
      <c r="G6" s="775" t="s">
        <v>610</v>
      </c>
      <c r="H6" s="769"/>
      <c r="I6" s="769"/>
      <c r="J6" s="769"/>
      <c r="K6" s="769"/>
    </row>
    <row r="7" spans="1:13" s="452" customFormat="1" ht="18" customHeight="1">
      <c r="A7" s="795"/>
      <c r="B7" s="740"/>
      <c r="C7" s="742"/>
      <c r="D7" s="736"/>
      <c r="E7" s="742"/>
      <c r="F7" s="756"/>
      <c r="G7" s="729" t="s">
        <v>254</v>
      </c>
      <c r="H7" s="780"/>
      <c r="I7" s="780"/>
      <c r="J7" s="780"/>
      <c r="K7" s="780"/>
    </row>
    <row r="8" spans="1:13" s="452" customFormat="1" ht="30" customHeight="1">
      <c r="A8" s="795"/>
      <c r="B8" s="760" t="s">
        <v>255</v>
      </c>
      <c r="C8" s="723" t="s">
        <v>611</v>
      </c>
      <c r="D8" s="756" t="s">
        <v>256</v>
      </c>
      <c r="E8" s="723" t="s">
        <v>611</v>
      </c>
      <c r="F8" s="756"/>
      <c r="G8" s="724" t="s">
        <v>435</v>
      </c>
      <c r="H8" s="739" t="s">
        <v>998</v>
      </c>
      <c r="I8" s="725"/>
      <c r="J8" s="664" t="s">
        <v>999</v>
      </c>
      <c r="K8" s="664" t="s">
        <v>1144</v>
      </c>
      <c r="M8" s="250"/>
    </row>
    <row r="9" spans="1:13" s="452" customFormat="1" ht="24.95" customHeight="1">
      <c r="A9" s="795" t="s">
        <v>201</v>
      </c>
      <c r="B9" s="760"/>
      <c r="C9" s="756"/>
      <c r="D9" s="756"/>
      <c r="E9" s="756"/>
      <c r="F9" s="756"/>
      <c r="G9" s="758"/>
      <c r="H9" s="157"/>
      <c r="I9" s="453" t="s">
        <v>611</v>
      </c>
      <c r="J9" s="665"/>
      <c r="K9" s="665"/>
    </row>
    <row r="10" spans="1:13" s="452" customFormat="1" ht="53.1" customHeight="1" thickBot="1">
      <c r="A10" s="809"/>
      <c r="B10" s="761"/>
      <c r="C10" s="462" t="s">
        <v>257</v>
      </c>
      <c r="D10" s="757"/>
      <c r="E10" s="462" t="s">
        <v>257</v>
      </c>
      <c r="F10" s="462" t="s">
        <v>258</v>
      </c>
      <c r="G10" s="462" t="s">
        <v>6</v>
      </c>
      <c r="H10" s="462" t="s">
        <v>259</v>
      </c>
      <c r="I10" s="462" t="s">
        <v>257</v>
      </c>
      <c r="J10" s="443" t="s">
        <v>260</v>
      </c>
      <c r="K10" s="443" t="s">
        <v>748</v>
      </c>
    </row>
    <row r="11" spans="1:13" ht="43.5" customHeight="1">
      <c r="A11" s="118" t="s">
        <v>467</v>
      </c>
      <c r="B11" s="569">
        <v>21</v>
      </c>
      <c r="C11" s="569">
        <v>2</v>
      </c>
      <c r="D11" s="569">
        <v>1281</v>
      </c>
      <c r="E11" s="569">
        <v>175</v>
      </c>
      <c r="F11" s="569">
        <v>0</v>
      </c>
      <c r="G11" s="569">
        <f t="shared" ref="G11:G16" si="0">SUM(H11,J11)</f>
        <v>1264783</v>
      </c>
      <c r="H11" s="569">
        <v>1264783</v>
      </c>
      <c r="I11" s="569">
        <v>14827</v>
      </c>
      <c r="J11" s="78">
        <v>0</v>
      </c>
      <c r="K11" s="78">
        <v>0</v>
      </c>
    </row>
    <row r="12" spans="1:13" ht="43.5" customHeight="1">
      <c r="A12" s="118" t="s">
        <v>468</v>
      </c>
      <c r="B12" s="569">
        <v>11</v>
      </c>
      <c r="C12" s="569">
        <v>1</v>
      </c>
      <c r="D12" s="569">
        <v>408</v>
      </c>
      <c r="E12" s="569">
        <v>9</v>
      </c>
      <c r="F12" s="569">
        <v>0</v>
      </c>
      <c r="G12" s="569">
        <f t="shared" si="0"/>
        <v>509751</v>
      </c>
      <c r="H12" s="569">
        <v>509751</v>
      </c>
      <c r="I12" s="569">
        <v>4292</v>
      </c>
      <c r="J12" s="78">
        <v>0</v>
      </c>
      <c r="K12" s="78">
        <v>0</v>
      </c>
    </row>
    <row r="13" spans="1:13" ht="43.5" customHeight="1">
      <c r="A13" s="118" t="s">
        <v>566</v>
      </c>
      <c r="B13" s="569">
        <v>11</v>
      </c>
      <c r="C13" s="569">
        <v>2</v>
      </c>
      <c r="D13" s="569">
        <v>821</v>
      </c>
      <c r="E13" s="569">
        <v>10</v>
      </c>
      <c r="F13" s="569">
        <v>0</v>
      </c>
      <c r="G13" s="569">
        <f t="shared" si="0"/>
        <v>941972</v>
      </c>
      <c r="H13" s="569">
        <v>941972</v>
      </c>
      <c r="I13" s="569">
        <v>18856</v>
      </c>
      <c r="J13" s="78">
        <v>0</v>
      </c>
      <c r="K13" s="78">
        <v>0</v>
      </c>
    </row>
    <row r="14" spans="1:13" ht="43.5" customHeight="1">
      <c r="A14" s="118" t="s">
        <v>567</v>
      </c>
      <c r="B14" s="569">
        <v>106</v>
      </c>
      <c r="C14" s="569">
        <v>37</v>
      </c>
      <c r="D14" s="569">
        <v>1858</v>
      </c>
      <c r="E14" s="569">
        <v>556</v>
      </c>
      <c r="F14" s="569">
        <v>0</v>
      </c>
      <c r="G14" s="569">
        <f t="shared" si="0"/>
        <v>1935519</v>
      </c>
      <c r="H14" s="569">
        <v>1935519</v>
      </c>
      <c r="I14" s="569">
        <v>526770</v>
      </c>
      <c r="J14" s="78">
        <v>0</v>
      </c>
      <c r="K14" s="78">
        <v>0</v>
      </c>
    </row>
    <row r="15" spans="1:13" ht="43.5" customHeight="1">
      <c r="A15" s="118" t="s">
        <v>568</v>
      </c>
      <c r="B15" s="569">
        <v>71</v>
      </c>
      <c r="C15" s="569">
        <v>29</v>
      </c>
      <c r="D15" s="569">
        <v>765</v>
      </c>
      <c r="E15" s="569">
        <v>278</v>
      </c>
      <c r="F15" s="569">
        <v>3</v>
      </c>
      <c r="G15" s="569">
        <f t="shared" si="0"/>
        <v>1019430</v>
      </c>
      <c r="H15" s="569">
        <v>1003289</v>
      </c>
      <c r="I15" s="569">
        <v>349694</v>
      </c>
      <c r="J15" s="78">
        <v>16141</v>
      </c>
      <c r="K15" s="78">
        <v>0</v>
      </c>
    </row>
    <row r="16" spans="1:13" ht="43.5" customHeight="1">
      <c r="A16" s="118" t="s">
        <v>569</v>
      </c>
      <c r="B16" s="78">
        <v>21</v>
      </c>
      <c r="C16" s="78">
        <v>7</v>
      </c>
      <c r="D16" s="78">
        <v>568</v>
      </c>
      <c r="E16" s="78">
        <v>97</v>
      </c>
      <c r="F16" s="78">
        <v>0</v>
      </c>
      <c r="G16" s="78">
        <f t="shared" si="0"/>
        <v>524941</v>
      </c>
      <c r="H16" s="78">
        <v>524941</v>
      </c>
      <c r="I16" s="78">
        <v>130925</v>
      </c>
      <c r="J16" s="78">
        <v>0</v>
      </c>
      <c r="K16" s="78">
        <v>0</v>
      </c>
    </row>
    <row r="17" spans="1:13" ht="43.5" customHeight="1">
      <c r="A17" s="118" t="s">
        <v>473</v>
      </c>
      <c r="B17" s="569">
        <v>77</v>
      </c>
      <c r="C17" s="569">
        <v>42</v>
      </c>
      <c r="D17" s="569">
        <v>1372</v>
      </c>
      <c r="E17" s="569">
        <v>763</v>
      </c>
      <c r="F17" s="569">
        <v>498</v>
      </c>
      <c r="G17" s="78">
        <f>SUM(H17,J17)</f>
        <v>4717229</v>
      </c>
      <c r="H17" s="569">
        <v>2397210</v>
      </c>
      <c r="I17" s="569">
        <v>994715</v>
      </c>
      <c r="J17" s="78">
        <v>2320019</v>
      </c>
      <c r="K17" s="78">
        <v>0</v>
      </c>
    </row>
    <row r="18" spans="1:13" ht="43.5" customHeight="1">
      <c r="A18" s="118" t="s">
        <v>749</v>
      </c>
      <c r="B18" s="569">
        <v>192</v>
      </c>
      <c r="C18" s="569">
        <v>50</v>
      </c>
      <c r="D18" s="569">
        <v>3539</v>
      </c>
      <c r="E18" s="78">
        <v>668</v>
      </c>
      <c r="F18" s="78">
        <v>672</v>
      </c>
      <c r="G18" s="78">
        <f>SUM(H18,J18,K18)</f>
        <v>13454100</v>
      </c>
      <c r="H18" s="78">
        <v>8506647</v>
      </c>
      <c r="I18" s="78">
        <v>1920581</v>
      </c>
      <c r="J18" s="78">
        <v>0</v>
      </c>
      <c r="K18" s="78">
        <v>4947453</v>
      </c>
    </row>
    <row r="19" spans="1:13" s="51" customFormat="1" ht="43.5" customHeight="1">
      <c r="A19" s="156" t="s">
        <v>1043</v>
      </c>
      <c r="B19" s="573">
        <v>179</v>
      </c>
      <c r="C19" s="573">
        <v>52</v>
      </c>
      <c r="D19" s="573">
        <v>3558</v>
      </c>
      <c r="E19" s="573">
        <v>949</v>
      </c>
      <c r="F19" s="573">
        <v>651</v>
      </c>
      <c r="G19" s="78">
        <f>SUM(H19,J19,K19)</f>
        <v>10510537</v>
      </c>
      <c r="H19" s="573">
        <v>8051779</v>
      </c>
      <c r="I19" s="573">
        <v>2691257</v>
      </c>
      <c r="J19" s="78">
        <v>0</v>
      </c>
      <c r="K19" s="78">
        <v>2458758</v>
      </c>
    </row>
    <row r="20" spans="1:13" s="51" customFormat="1" ht="43.5" customHeight="1" thickBot="1">
      <c r="A20" s="351" t="s">
        <v>1237</v>
      </c>
      <c r="B20" s="574">
        <f>44+40+24+26</f>
        <v>134</v>
      </c>
      <c r="C20" s="575">
        <f>7+13+0+3</f>
        <v>23</v>
      </c>
      <c r="D20" s="575">
        <f>1291+1088+771+659</f>
        <v>3809</v>
      </c>
      <c r="E20" s="575">
        <f>98+294+0+18</f>
        <v>410</v>
      </c>
      <c r="F20" s="575">
        <f>117+102+197+195</f>
        <v>611</v>
      </c>
      <c r="G20" s="341">
        <f>SUM(H20,J20,K20)</f>
        <v>7364164</v>
      </c>
      <c r="H20" s="575">
        <f>1995370+1481857+843277+865531</f>
        <v>5186035</v>
      </c>
      <c r="I20" s="575">
        <f>551175+755886+0+129084</f>
        <v>1436145</v>
      </c>
      <c r="J20" s="341">
        <v>0</v>
      </c>
      <c r="K20" s="341">
        <f>452475+251843+775469+698342</f>
        <v>2178129</v>
      </c>
    </row>
    <row r="21" spans="1:13" s="452" customFormat="1" ht="15" customHeight="1">
      <c r="A21" s="100" t="s">
        <v>937</v>
      </c>
      <c r="B21" s="150"/>
      <c r="C21" s="150"/>
      <c r="J21" s="435"/>
      <c r="M21" s="475"/>
    </row>
    <row r="22" spans="1:13" s="452" customFormat="1" ht="15" customHeight="1">
      <c r="A22" s="100" t="s">
        <v>750</v>
      </c>
      <c r="J22" s="435"/>
      <c r="M22" s="475"/>
    </row>
    <row r="23" spans="1:13" s="452" customFormat="1" ht="15" customHeight="1">
      <c r="A23" s="100" t="s">
        <v>1113</v>
      </c>
      <c r="B23" s="150"/>
      <c r="C23" s="150"/>
      <c r="J23" s="448"/>
      <c r="M23" s="475"/>
    </row>
    <row r="24" spans="1:13" s="452" customFormat="1">
      <c r="A24" s="100" t="s">
        <v>1145</v>
      </c>
      <c r="J24" s="448"/>
    </row>
    <row r="25" spans="1:13" s="452" customFormat="1">
      <c r="A25" s="429" t="s">
        <v>1112</v>
      </c>
      <c r="J25" s="448"/>
    </row>
    <row r="26" spans="1:13" s="452" customFormat="1">
      <c r="A26" s="429" t="s">
        <v>1146</v>
      </c>
      <c r="J26" s="448"/>
    </row>
    <row r="27" spans="1:13" s="452" customFormat="1">
      <c r="A27" s="100" t="s">
        <v>1147</v>
      </c>
      <c r="J27" s="448"/>
    </row>
    <row r="28" spans="1:13" s="452" customFormat="1">
      <c r="A28" s="100"/>
      <c r="J28" s="448"/>
    </row>
    <row r="29" spans="1:13" s="452" customFormat="1">
      <c r="J29" s="448"/>
    </row>
  </sheetData>
  <mergeCells count="20">
    <mergeCell ref="A6:A8"/>
    <mergeCell ref="B6:C7"/>
    <mergeCell ref="D6:E7"/>
    <mergeCell ref="F6:F9"/>
    <mergeCell ref="G6:K6"/>
    <mergeCell ref="A9:A10"/>
    <mergeCell ref="G7:K7"/>
    <mergeCell ref="B8:B10"/>
    <mergeCell ref="C8:C9"/>
    <mergeCell ref="D8:D10"/>
    <mergeCell ref="E8:E9"/>
    <mergeCell ref="G8:G9"/>
    <mergeCell ref="H8:I8"/>
    <mergeCell ref="J8:J9"/>
    <mergeCell ref="K8:K9"/>
    <mergeCell ref="A2:K2"/>
    <mergeCell ref="A3:K3"/>
    <mergeCell ref="I1:J1"/>
    <mergeCell ref="H4:K4"/>
    <mergeCell ref="H5:K5"/>
  </mergeCells>
  <phoneticPr fontId="6" type="noConversion"/>
  <printOptions horizontalCentered="1"/>
  <pageMargins left="0.6692913385826772" right="0.6692913385826772" top="0.6692913385826772" bottom="0.6692913385826772" header="0.27559055118110237" footer="0.27559055118110237"/>
  <pageSetup paperSize="9" firstPageNumber="352" orientation="portrait" useFirstPageNumber="1"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工作表18"/>
  <dimension ref="A1:J34"/>
  <sheetViews>
    <sheetView showGridLines="0" view="pageBreakPreview" topLeftCell="A13" zoomScale="85" zoomScaleNormal="120" zoomScaleSheetLayoutView="85" workbookViewId="0">
      <selection sqref="A1:XFD1048576"/>
    </sheetView>
  </sheetViews>
  <sheetFormatPr defaultRowHeight="12.75"/>
  <cols>
    <col min="1" max="1" width="10.625" style="452" customWidth="1"/>
    <col min="2" max="7" width="12.75" style="8" customWidth="1"/>
    <col min="8" max="16384" width="9" style="8"/>
  </cols>
  <sheetData>
    <row r="1" spans="1:10" s="452" customFormat="1" ht="18" customHeight="1">
      <c r="A1" s="90"/>
      <c r="B1" s="150"/>
      <c r="C1" s="150"/>
      <c r="G1" s="459" t="s">
        <v>0</v>
      </c>
      <c r="H1" s="467"/>
    </row>
    <row r="2" spans="1:10" s="452" customFormat="1" ht="24.95" customHeight="1">
      <c r="A2" s="716" t="s">
        <v>991</v>
      </c>
      <c r="B2" s="716"/>
      <c r="C2" s="716"/>
      <c r="D2" s="716"/>
      <c r="E2" s="716"/>
      <c r="F2" s="716"/>
      <c r="G2" s="716"/>
      <c r="H2" s="467"/>
    </row>
    <row r="3" spans="1:10" s="452" customFormat="1" ht="21.95" customHeight="1">
      <c r="A3" s="716" t="s">
        <v>261</v>
      </c>
      <c r="B3" s="716"/>
      <c r="C3" s="716"/>
      <c r="D3" s="716"/>
      <c r="E3" s="716"/>
      <c r="F3" s="716"/>
      <c r="G3" s="716"/>
      <c r="H3" s="467"/>
    </row>
    <row r="4" spans="1:10" s="452" customFormat="1" ht="15" customHeight="1">
      <c r="A4" s="467"/>
      <c r="B4" s="467"/>
      <c r="C4" s="467"/>
      <c r="F4" s="467"/>
      <c r="G4" s="151" t="s">
        <v>956</v>
      </c>
      <c r="H4" s="467"/>
    </row>
    <row r="5" spans="1:10" s="452" customFormat="1" ht="15" customHeight="1" thickBot="1">
      <c r="A5" s="467"/>
      <c r="B5" s="467"/>
      <c r="C5" s="467"/>
      <c r="F5" s="467"/>
      <c r="G5" s="459" t="s">
        <v>262</v>
      </c>
      <c r="H5" s="467"/>
    </row>
    <row r="6" spans="1:10" s="452" customFormat="1" ht="18" customHeight="1">
      <c r="A6" s="808" t="s">
        <v>453</v>
      </c>
      <c r="B6" s="812" t="s">
        <v>538</v>
      </c>
      <c r="C6" s="813"/>
      <c r="D6" s="816" t="s">
        <v>1097</v>
      </c>
      <c r="E6" s="813"/>
      <c r="F6" s="813"/>
      <c r="G6" s="813"/>
      <c r="H6" s="467"/>
    </row>
    <row r="7" spans="1:10" s="452" customFormat="1" ht="18" customHeight="1">
      <c r="A7" s="795"/>
      <c r="B7" s="814"/>
      <c r="C7" s="815"/>
      <c r="D7" s="817" t="s">
        <v>1096</v>
      </c>
      <c r="E7" s="818"/>
      <c r="F7" s="818"/>
      <c r="G7" s="818"/>
      <c r="H7" s="467"/>
    </row>
    <row r="8" spans="1:10" s="452" customFormat="1" ht="27.95" customHeight="1">
      <c r="A8" s="795"/>
      <c r="B8" s="814"/>
      <c r="C8" s="815"/>
      <c r="D8" s="778" t="s">
        <v>992</v>
      </c>
      <c r="E8" s="779"/>
      <c r="F8" s="739" t="s">
        <v>993</v>
      </c>
      <c r="G8" s="779"/>
      <c r="H8" s="467"/>
    </row>
    <row r="9" spans="1:10" s="467" customFormat="1" ht="27.95" customHeight="1">
      <c r="A9" s="795" t="s">
        <v>201</v>
      </c>
      <c r="B9" s="810" t="s">
        <v>264</v>
      </c>
      <c r="C9" s="811"/>
      <c r="D9" s="730" t="s">
        <v>265</v>
      </c>
      <c r="E9" s="731"/>
      <c r="F9" s="727" t="s">
        <v>266</v>
      </c>
      <c r="G9" s="731"/>
    </row>
    <row r="10" spans="1:10" s="452" customFormat="1" ht="18" customHeight="1">
      <c r="A10" s="795"/>
      <c r="B10" s="152" t="s">
        <v>599</v>
      </c>
      <c r="C10" s="145" t="s">
        <v>600</v>
      </c>
      <c r="D10" s="146" t="s">
        <v>605</v>
      </c>
      <c r="E10" s="145" t="s">
        <v>606</v>
      </c>
      <c r="F10" s="146" t="s">
        <v>605</v>
      </c>
      <c r="G10" s="146" t="s">
        <v>606</v>
      </c>
      <c r="H10" s="467"/>
    </row>
    <row r="11" spans="1:10" s="467" customFormat="1" ht="30" customHeight="1" thickBot="1">
      <c r="A11" s="809"/>
      <c r="B11" s="154" t="s">
        <v>267</v>
      </c>
      <c r="C11" s="153" t="s">
        <v>246</v>
      </c>
      <c r="D11" s="155" t="s">
        <v>268</v>
      </c>
      <c r="E11" s="153" t="s">
        <v>263</v>
      </c>
      <c r="F11" s="155" t="s">
        <v>268</v>
      </c>
      <c r="G11" s="147" t="s">
        <v>263</v>
      </c>
      <c r="J11" s="149"/>
    </row>
    <row r="12" spans="1:10" s="51" customFormat="1" ht="45" customHeight="1">
      <c r="A12" s="149" t="s">
        <v>607</v>
      </c>
      <c r="B12" s="83">
        <f>D12+F12+'11-12續 '!B9+'11-12續 '!D9+'11-12續 '!F9+'11-12續 '!H9+'11-12續 '!L9</f>
        <v>3735</v>
      </c>
      <c r="C12" s="52">
        <f>E12+G12+'11-12續 '!C9+'11-12續 '!E9+'11-12續 '!G9+'11-12續 '!I9+'11-12續 '!M9</f>
        <v>25938658</v>
      </c>
      <c r="D12" s="50">
        <v>732</v>
      </c>
      <c r="E12" s="50">
        <v>6178500</v>
      </c>
      <c r="F12" s="50">
        <v>1790</v>
      </c>
      <c r="G12" s="50">
        <v>12423000</v>
      </c>
      <c r="H12" s="53"/>
    </row>
    <row r="13" spans="1:10" s="51" customFormat="1" ht="45" customHeight="1">
      <c r="A13" s="149" t="s">
        <v>608</v>
      </c>
      <c r="B13" s="54">
        <f>D13+F13+'11-12續 '!B10+'11-12續 '!F10+'11-12續 '!H10+'11-12續 '!L10</f>
        <v>4663</v>
      </c>
      <c r="C13" s="52">
        <f>E13+G13+'11-12續 '!C10+'11-12續 '!G10+'11-12續 '!I10+'11-12續 '!M10</f>
        <v>26928893</v>
      </c>
      <c r="D13" s="50">
        <v>757</v>
      </c>
      <c r="E13" s="50">
        <v>6394000</v>
      </c>
      <c r="F13" s="50">
        <v>2547</v>
      </c>
      <c r="G13" s="50">
        <v>13192339</v>
      </c>
      <c r="H13" s="53"/>
    </row>
    <row r="14" spans="1:10" s="51" customFormat="1" ht="45" customHeight="1">
      <c r="A14" s="149" t="s">
        <v>501</v>
      </c>
      <c r="B14" s="54">
        <f>D14+F14+'11-12續 '!B11+'11-12續 '!D11+'11-12續 '!F11+'11-12續 '!H11+'11-12續 '!L11</f>
        <v>4598</v>
      </c>
      <c r="C14" s="52">
        <f>E14+G14+'11-12續 '!C11+'11-12續 '!E11+'11-12續 '!G11+'11-12續 '!I11+'11-12續 '!M11</f>
        <v>26840442</v>
      </c>
      <c r="D14" s="50">
        <v>1085</v>
      </c>
      <c r="E14" s="50">
        <v>10797000</v>
      </c>
      <c r="F14" s="50">
        <v>2366</v>
      </c>
      <c r="G14" s="50">
        <v>10642000</v>
      </c>
      <c r="H14" s="53"/>
    </row>
    <row r="15" spans="1:10" s="51" customFormat="1" ht="45" customHeight="1">
      <c r="A15" s="149" t="s">
        <v>1263</v>
      </c>
      <c r="B15" s="54">
        <f>D15+F15+'11-12續 '!B12+'11-12續 '!D12+'11-12續 '!F12+'11-12續 '!H12+'11-12續 '!L12</f>
        <v>5154</v>
      </c>
      <c r="C15" s="52">
        <f>E15+G15+'11-12續 '!C12+'11-12續 '!E12+'11-12續 '!G12+'11-12續 '!I12+'11-12續 '!M12</f>
        <v>35723815</v>
      </c>
      <c r="D15" s="50">
        <v>1165</v>
      </c>
      <c r="E15" s="50">
        <v>12664400</v>
      </c>
      <c r="F15" s="50">
        <v>2670</v>
      </c>
      <c r="G15" s="50">
        <v>14968417</v>
      </c>
      <c r="H15" s="53"/>
    </row>
    <row r="16" spans="1:10" s="51" customFormat="1" ht="45" customHeight="1">
      <c r="A16" s="149" t="s">
        <v>503</v>
      </c>
      <c r="B16" s="54">
        <f>D16+F16+'11-12續 '!B13+'11-12續 '!D13+'11-12續 '!F13+'11-12續 '!H13+'11-12續 '!L13</f>
        <v>4321</v>
      </c>
      <c r="C16" s="52">
        <f>E16+G16+'11-12續 '!C13+'11-12續 '!E13+'11-12續 '!G13+'11-12續 '!I13+'11-12續 '!M13</f>
        <v>30852616</v>
      </c>
      <c r="D16" s="50">
        <v>965</v>
      </c>
      <c r="E16" s="50">
        <v>9939870</v>
      </c>
      <c r="F16" s="50">
        <v>2281</v>
      </c>
      <c r="G16" s="50">
        <v>14093270</v>
      </c>
      <c r="H16" s="53"/>
    </row>
    <row r="17" spans="1:8" s="51" customFormat="1" ht="45" customHeight="1">
      <c r="A17" s="149" t="s">
        <v>504</v>
      </c>
      <c r="B17" s="54">
        <f>D17+F17+'11-12續 '!B14+'11-12續 '!D14+'11-12續 '!F14+'11-12續 '!H14+'11-12續 '!L14</f>
        <v>4596</v>
      </c>
      <c r="C17" s="52">
        <f>E17+G17+'11-12續 '!C14+'11-12續 '!E14+'11-12續 '!G14+'11-12續 '!I14+'11-12續 '!M14</f>
        <v>29789520</v>
      </c>
      <c r="D17" s="52">
        <v>1095</v>
      </c>
      <c r="E17" s="52">
        <v>9978000</v>
      </c>
      <c r="F17" s="52">
        <v>2491</v>
      </c>
      <c r="G17" s="52">
        <v>13881000</v>
      </c>
      <c r="H17" s="53"/>
    </row>
    <row r="18" spans="1:8" ht="45" customHeight="1">
      <c r="A18" s="457" t="s">
        <v>505</v>
      </c>
      <c r="B18" s="54">
        <f>D18+F18+'11-12續 '!B15+'11-12續 '!D15+'11-12續 '!F15+'11-12續 '!H15+'11-12續 '!L15</f>
        <v>4686</v>
      </c>
      <c r="C18" s="52">
        <f>E18+G18+'11-12續 '!C15+'11-12續 '!E15+'11-12續 '!G15+'11-12續 '!I15+'11-12續 '!M15</f>
        <v>33828306</v>
      </c>
      <c r="D18" s="84">
        <v>1122</v>
      </c>
      <c r="E18" s="84">
        <v>10671487</v>
      </c>
      <c r="F18" s="84">
        <v>2769</v>
      </c>
      <c r="G18" s="84">
        <v>18223000</v>
      </c>
      <c r="H18" s="11"/>
    </row>
    <row r="19" spans="1:8" ht="45" customHeight="1">
      <c r="A19" s="149" t="s">
        <v>797</v>
      </c>
      <c r="B19" s="54">
        <f>D19+F19+'11-12續 '!B16+'11-12續 '!D16+'11-12續 '!F16+'11-12續 '!H16+'11-12續 '!L16</f>
        <v>4337</v>
      </c>
      <c r="C19" s="52">
        <f>E19+G19+'11-12續 '!C16+'11-12續 '!E16+'11-12續 '!G16+'11-12續 '!I16+'11-12續 '!M16</f>
        <v>33962418</v>
      </c>
      <c r="D19" s="50">
        <v>977</v>
      </c>
      <c r="E19" s="49">
        <v>9053000</v>
      </c>
      <c r="F19" s="50">
        <v>2596</v>
      </c>
      <c r="G19" s="49">
        <v>19641310</v>
      </c>
      <c r="H19" s="11"/>
    </row>
    <row r="20" spans="1:8" ht="45" customHeight="1">
      <c r="A20" s="144" t="s">
        <v>1044</v>
      </c>
      <c r="B20" s="326">
        <f>D20+F20+'11-12續 '!B17+'11-12續 '!D17+'11-12續 '!F17+'11-12續 '!H17+'11-12續 '!L17</f>
        <v>4020</v>
      </c>
      <c r="C20" s="325">
        <f>E20+G20+'11-12續 '!C17+'11-12續 '!E17+'11-12續 '!G17+'11-12續 '!I17+'11-12續 '!M17</f>
        <v>35700253</v>
      </c>
      <c r="D20" s="324">
        <v>828</v>
      </c>
      <c r="E20" s="324">
        <v>8542000</v>
      </c>
      <c r="F20" s="324">
        <v>2501</v>
      </c>
      <c r="G20" s="324">
        <v>21946000</v>
      </c>
      <c r="H20" s="11"/>
    </row>
    <row r="21" spans="1:8" ht="45" customHeight="1" thickBot="1">
      <c r="A21" s="352" t="s">
        <v>1238</v>
      </c>
      <c r="B21" s="353">
        <f>D21+F21+'11-12續 '!B18+'11-12續 '!D18+'11-12續 '!F18+'11-12續 '!H18+'11-12續 '!L18</f>
        <v>3827</v>
      </c>
      <c r="C21" s="354">
        <f>E21+G21+'11-12續 '!C18+'11-12續 '!E18+'11-12續 '!G18+'11-12續 '!I18+'11-12續 '!M18</f>
        <v>34223216</v>
      </c>
      <c r="D21" s="354">
        <f>183+221+158+165</f>
        <v>727</v>
      </c>
      <c r="E21" s="354">
        <f>1799000+2112000+1494000+1649000</f>
        <v>7054000</v>
      </c>
      <c r="F21" s="354">
        <f>656+628+588+624</f>
        <v>2496</v>
      </c>
      <c r="G21" s="354">
        <f>6174700+5815560+5191000+5501000</f>
        <v>22682260</v>
      </c>
      <c r="H21" s="11"/>
    </row>
    <row r="22" spans="1:8" s="452" customFormat="1" ht="14.1" customHeight="1">
      <c r="A22" s="97" t="s">
        <v>1143</v>
      </c>
      <c r="B22" s="475"/>
      <c r="C22" s="475"/>
      <c r="F22" s="475"/>
      <c r="G22" s="475"/>
      <c r="H22" s="467"/>
    </row>
    <row r="23" spans="1:8" s="452" customFormat="1" ht="13.9" customHeight="1">
      <c r="A23" s="429" t="s">
        <v>1239</v>
      </c>
      <c r="H23" s="467"/>
    </row>
    <row r="24" spans="1:8" s="452" customFormat="1" ht="13.9" customHeight="1">
      <c r="A24" s="429" t="s">
        <v>1240</v>
      </c>
      <c r="H24" s="467"/>
    </row>
    <row r="25" spans="1:8" s="452" customFormat="1" ht="13.9" customHeight="1">
      <c r="A25" s="429" t="s">
        <v>1100</v>
      </c>
      <c r="H25" s="467"/>
    </row>
    <row r="26" spans="1:8" s="452" customFormat="1" ht="13.9" customHeight="1">
      <c r="A26" s="429" t="s">
        <v>1241</v>
      </c>
      <c r="H26" s="467"/>
    </row>
    <row r="27" spans="1:8" s="452" customFormat="1" ht="13.9" customHeight="1">
      <c r="A27" s="429" t="s">
        <v>1264</v>
      </c>
      <c r="H27" s="467"/>
    </row>
    <row r="28" spans="1:8" s="452" customFormat="1" ht="14.1" customHeight="1">
      <c r="A28" s="289" t="s">
        <v>1212</v>
      </c>
      <c r="H28" s="467"/>
    </row>
    <row r="29" spans="1:8" s="452" customFormat="1" ht="14.1" customHeight="1">
      <c r="A29" s="429"/>
      <c r="H29" s="467"/>
    </row>
    <row r="30" spans="1:8" s="452" customFormat="1">
      <c r="H30" s="467"/>
    </row>
    <row r="31" spans="1:8" s="452" customFormat="1">
      <c r="H31" s="467"/>
    </row>
    <row r="32" spans="1:8" s="452" customFormat="1"/>
    <row r="33" s="452" customFormat="1"/>
    <row r="34" s="452" customFormat="1"/>
  </sheetData>
  <mergeCells count="12">
    <mergeCell ref="A2:G2"/>
    <mergeCell ref="A3:G3"/>
    <mergeCell ref="A9:A11"/>
    <mergeCell ref="B9:C9"/>
    <mergeCell ref="D9:E9"/>
    <mergeCell ref="F9:G9"/>
    <mergeCell ref="A6:A8"/>
    <mergeCell ref="B6:C8"/>
    <mergeCell ref="D6:G6"/>
    <mergeCell ref="D7:G7"/>
    <mergeCell ref="D8:E8"/>
    <mergeCell ref="F8:G8"/>
  </mergeCells>
  <phoneticPr fontId="6" type="noConversion"/>
  <printOptions horizontalCentered="1"/>
  <pageMargins left="0.6692913385826772" right="0.6692913385826772" top="0.6692913385826772" bottom="0.6692913385826772" header="0.27559055118110237" footer="0.27559055118110237"/>
  <pageSetup paperSize="9" firstPageNumber="352" orientation="portrait" useFirstPageNumber="1"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工作表19"/>
  <dimension ref="A1:R18"/>
  <sheetViews>
    <sheetView showGridLines="0" view="pageBreakPreview" topLeftCell="A13" zoomScale="80" zoomScaleNormal="80" zoomScaleSheetLayoutView="80" workbookViewId="0">
      <selection activeCell="E10" sqref="E10"/>
    </sheetView>
  </sheetViews>
  <sheetFormatPr defaultRowHeight="12.75"/>
  <cols>
    <col min="1" max="1" width="10.625" style="452" customWidth="1"/>
    <col min="2" max="7" width="12.75" style="8" customWidth="1"/>
    <col min="8" max="15" width="11" style="8" customWidth="1"/>
    <col min="16" max="16384" width="9" style="8"/>
  </cols>
  <sheetData>
    <row r="1" spans="1:18" s="452" customFormat="1" ht="18" customHeight="1">
      <c r="A1" s="90" t="s">
        <v>989</v>
      </c>
      <c r="H1" s="97"/>
      <c r="I1" s="97"/>
      <c r="J1" s="97"/>
      <c r="K1" s="97"/>
      <c r="O1" s="459" t="s">
        <v>0</v>
      </c>
    </row>
    <row r="2" spans="1:18" s="452" customFormat="1" ht="24.95" customHeight="1">
      <c r="A2" s="716" t="s">
        <v>990</v>
      </c>
      <c r="B2" s="716"/>
      <c r="C2" s="716"/>
      <c r="D2" s="716"/>
      <c r="E2" s="716"/>
      <c r="F2" s="716"/>
      <c r="G2" s="716"/>
      <c r="H2" s="767" t="s">
        <v>269</v>
      </c>
      <c r="I2" s="716"/>
      <c r="J2" s="716"/>
      <c r="K2" s="716"/>
      <c r="L2" s="716"/>
      <c r="M2" s="716"/>
      <c r="N2" s="716"/>
      <c r="O2" s="716"/>
    </row>
    <row r="3" spans="1:18" s="452" customFormat="1" ht="18" customHeight="1" thickBot="1">
      <c r="A3" s="467"/>
      <c r="B3" s="459"/>
      <c r="C3" s="459"/>
      <c r="D3" s="459"/>
      <c r="E3" s="459"/>
      <c r="G3" s="459" t="s">
        <v>956</v>
      </c>
      <c r="H3" s="467"/>
      <c r="I3" s="467"/>
      <c r="J3" s="467"/>
      <c r="K3" s="467"/>
      <c r="O3" s="459" t="s">
        <v>262</v>
      </c>
    </row>
    <row r="4" spans="1:18" s="452" customFormat="1" ht="20.100000000000001" customHeight="1">
      <c r="A4" s="808" t="s">
        <v>453</v>
      </c>
      <c r="B4" s="800" t="s">
        <v>1138</v>
      </c>
      <c r="C4" s="800"/>
      <c r="D4" s="800"/>
      <c r="E4" s="800"/>
      <c r="F4" s="800"/>
      <c r="G4" s="800"/>
      <c r="H4" s="800" t="s">
        <v>1098</v>
      </c>
      <c r="I4" s="800"/>
      <c r="J4" s="800"/>
      <c r="K4" s="801"/>
      <c r="L4" s="735" t="s">
        <v>1139</v>
      </c>
      <c r="M4" s="769"/>
      <c r="N4" s="821" t="s">
        <v>1140</v>
      </c>
      <c r="O4" s="769"/>
    </row>
    <row r="5" spans="1:18" s="452" customFormat="1" ht="32.1" customHeight="1">
      <c r="A5" s="795"/>
      <c r="B5" s="738" t="s">
        <v>601</v>
      </c>
      <c r="C5" s="779"/>
      <c r="D5" s="738" t="s">
        <v>1141</v>
      </c>
      <c r="E5" s="779"/>
      <c r="F5" s="778" t="s">
        <v>602</v>
      </c>
      <c r="G5" s="779"/>
      <c r="H5" s="773" t="s">
        <v>603</v>
      </c>
      <c r="I5" s="774"/>
      <c r="J5" s="776" t="s">
        <v>604</v>
      </c>
      <c r="K5" s="774"/>
      <c r="L5" s="776"/>
      <c r="M5" s="773"/>
      <c r="N5" s="822"/>
      <c r="O5" s="773"/>
    </row>
    <row r="6" spans="1:18" s="467" customFormat="1" ht="38.1" customHeight="1">
      <c r="A6" s="795" t="s">
        <v>201</v>
      </c>
      <c r="B6" s="730" t="s">
        <v>270</v>
      </c>
      <c r="C6" s="731"/>
      <c r="D6" s="730" t="s">
        <v>271</v>
      </c>
      <c r="E6" s="731"/>
      <c r="F6" s="727" t="s">
        <v>272</v>
      </c>
      <c r="G6" s="731"/>
      <c r="H6" s="730" t="s">
        <v>422</v>
      </c>
      <c r="I6" s="731"/>
      <c r="J6" s="727" t="s">
        <v>273</v>
      </c>
      <c r="K6" s="731"/>
      <c r="L6" s="743" t="s">
        <v>1099</v>
      </c>
      <c r="M6" s="819"/>
      <c r="N6" s="820" t="s">
        <v>1094</v>
      </c>
      <c r="O6" s="819"/>
    </row>
    <row r="7" spans="1:18" s="452" customFormat="1" ht="20.100000000000001" customHeight="1">
      <c r="A7" s="795"/>
      <c r="B7" s="470" t="s">
        <v>605</v>
      </c>
      <c r="C7" s="469" t="s">
        <v>606</v>
      </c>
      <c r="D7" s="454" t="s">
        <v>605</v>
      </c>
      <c r="E7" s="469" t="s">
        <v>606</v>
      </c>
      <c r="F7" s="454" t="s">
        <v>605</v>
      </c>
      <c r="G7" s="454" t="s">
        <v>606</v>
      </c>
      <c r="H7" s="470" t="s">
        <v>605</v>
      </c>
      <c r="I7" s="469" t="s">
        <v>606</v>
      </c>
      <c r="J7" s="454" t="s">
        <v>605</v>
      </c>
      <c r="K7" s="469" t="s">
        <v>606</v>
      </c>
      <c r="L7" s="454" t="s">
        <v>605</v>
      </c>
      <c r="M7" s="469" t="s">
        <v>606</v>
      </c>
      <c r="N7" s="297" t="s">
        <v>1142</v>
      </c>
      <c r="O7" s="469" t="s">
        <v>606</v>
      </c>
    </row>
    <row r="8" spans="1:18" s="467" customFormat="1" ht="29.1" customHeight="1" thickBot="1">
      <c r="A8" s="809"/>
      <c r="B8" s="479" t="s">
        <v>267</v>
      </c>
      <c r="C8" s="148" t="s">
        <v>263</v>
      </c>
      <c r="D8" s="478" t="s">
        <v>267</v>
      </c>
      <c r="E8" s="148" t="s">
        <v>263</v>
      </c>
      <c r="F8" s="478" t="s">
        <v>267</v>
      </c>
      <c r="G8" s="466" t="s">
        <v>263</v>
      </c>
      <c r="H8" s="479" t="s">
        <v>267</v>
      </c>
      <c r="I8" s="148" t="s">
        <v>263</v>
      </c>
      <c r="J8" s="478" t="s">
        <v>267</v>
      </c>
      <c r="K8" s="148" t="s">
        <v>263</v>
      </c>
      <c r="L8" s="478" t="s">
        <v>357</v>
      </c>
      <c r="M8" s="148" t="s">
        <v>263</v>
      </c>
      <c r="N8" s="293" t="s">
        <v>1095</v>
      </c>
      <c r="O8" s="148" t="s">
        <v>263</v>
      </c>
    </row>
    <row r="9" spans="1:18" s="51" customFormat="1" ht="55.5" customHeight="1">
      <c r="A9" s="144" t="s">
        <v>607</v>
      </c>
      <c r="B9" s="570">
        <v>605</v>
      </c>
      <c r="C9" s="570">
        <v>4149500</v>
      </c>
      <c r="D9" s="570">
        <v>184</v>
      </c>
      <c r="E9" s="570">
        <v>1372000</v>
      </c>
      <c r="F9" s="570">
        <v>48</v>
      </c>
      <c r="G9" s="570">
        <v>395000</v>
      </c>
      <c r="H9" s="570">
        <v>147</v>
      </c>
      <c r="I9" s="570">
        <v>47658</v>
      </c>
      <c r="J9" s="573">
        <v>0</v>
      </c>
      <c r="K9" s="573">
        <v>0</v>
      </c>
      <c r="L9" s="576">
        <v>229</v>
      </c>
      <c r="M9" s="577">
        <v>1373000</v>
      </c>
      <c r="N9" s="578">
        <v>0</v>
      </c>
      <c r="O9" s="573">
        <v>0</v>
      </c>
    </row>
    <row r="10" spans="1:18" s="51" customFormat="1" ht="55.5" customHeight="1">
      <c r="A10" s="144" t="s">
        <v>608</v>
      </c>
      <c r="B10" s="570">
        <v>726</v>
      </c>
      <c r="C10" s="570">
        <v>4237200</v>
      </c>
      <c r="D10" s="573">
        <v>0</v>
      </c>
      <c r="E10" s="573">
        <v>0</v>
      </c>
      <c r="F10" s="570">
        <v>254</v>
      </c>
      <c r="G10" s="570">
        <v>1554000</v>
      </c>
      <c r="H10" s="570">
        <v>108</v>
      </c>
      <c r="I10" s="570">
        <v>32854</v>
      </c>
      <c r="J10" s="573">
        <v>0</v>
      </c>
      <c r="K10" s="573">
        <v>0</v>
      </c>
      <c r="L10" s="576">
        <v>271</v>
      </c>
      <c r="M10" s="576">
        <v>1518500</v>
      </c>
      <c r="N10" s="573">
        <v>0</v>
      </c>
      <c r="O10" s="573">
        <v>0</v>
      </c>
    </row>
    <row r="11" spans="1:18" s="51" customFormat="1" ht="55.5" customHeight="1">
      <c r="A11" s="144" t="s">
        <v>501</v>
      </c>
      <c r="B11" s="570">
        <v>336</v>
      </c>
      <c r="C11" s="570">
        <v>1515000</v>
      </c>
      <c r="D11" s="570">
        <v>1</v>
      </c>
      <c r="E11" s="570">
        <v>3000</v>
      </c>
      <c r="F11" s="570">
        <v>287</v>
      </c>
      <c r="G11" s="570">
        <v>1560000</v>
      </c>
      <c r="H11" s="570">
        <v>175</v>
      </c>
      <c r="I11" s="570">
        <v>50442</v>
      </c>
      <c r="J11" s="573">
        <v>0</v>
      </c>
      <c r="K11" s="573">
        <v>0</v>
      </c>
      <c r="L11" s="576">
        <v>348</v>
      </c>
      <c r="M11" s="576">
        <v>2273000</v>
      </c>
      <c r="N11" s="573">
        <v>0</v>
      </c>
      <c r="O11" s="573">
        <v>0</v>
      </c>
    </row>
    <row r="12" spans="1:18" s="51" customFormat="1" ht="55.5" customHeight="1">
      <c r="A12" s="144" t="s">
        <v>502</v>
      </c>
      <c r="B12" s="570">
        <v>382</v>
      </c>
      <c r="C12" s="570">
        <v>2126000</v>
      </c>
      <c r="D12" s="570">
        <v>16</v>
      </c>
      <c r="E12" s="570">
        <v>82000</v>
      </c>
      <c r="F12" s="570">
        <v>415</v>
      </c>
      <c r="G12" s="570">
        <v>3323795</v>
      </c>
      <c r="H12" s="570">
        <v>176</v>
      </c>
      <c r="I12" s="570">
        <v>41203</v>
      </c>
      <c r="J12" s="573">
        <v>0</v>
      </c>
      <c r="K12" s="573">
        <v>0</v>
      </c>
      <c r="L12" s="576">
        <v>330</v>
      </c>
      <c r="M12" s="576">
        <v>2518000</v>
      </c>
      <c r="N12" s="573">
        <v>0</v>
      </c>
      <c r="O12" s="573">
        <v>0</v>
      </c>
    </row>
    <row r="13" spans="1:18" s="51" customFormat="1" ht="55.5" customHeight="1">
      <c r="A13" s="144" t="s">
        <v>503</v>
      </c>
      <c r="B13" s="570">
        <v>262</v>
      </c>
      <c r="C13" s="570">
        <v>1721000</v>
      </c>
      <c r="D13" s="570">
        <v>1</v>
      </c>
      <c r="E13" s="570">
        <v>5000</v>
      </c>
      <c r="F13" s="570">
        <v>375</v>
      </c>
      <c r="G13" s="570">
        <v>2827860</v>
      </c>
      <c r="H13" s="570">
        <v>144</v>
      </c>
      <c r="I13" s="570">
        <v>38116</v>
      </c>
      <c r="J13" s="573">
        <v>0</v>
      </c>
      <c r="K13" s="573">
        <v>0</v>
      </c>
      <c r="L13" s="576">
        <v>293</v>
      </c>
      <c r="M13" s="576">
        <v>2227500</v>
      </c>
      <c r="N13" s="573">
        <v>0</v>
      </c>
      <c r="O13" s="573">
        <v>0</v>
      </c>
    </row>
    <row r="14" spans="1:18" s="51" customFormat="1" ht="55.5" customHeight="1">
      <c r="A14" s="144" t="s">
        <v>504</v>
      </c>
      <c r="B14" s="571">
        <v>138</v>
      </c>
      <c r="C14" s="571">
        <v>773000</v>
      </c>
      <c r="D14" s="571">
        <v>4</v>
      </c>
      <c r="E14" s="571">
        <v>26000</v>
      </c>
      <c r="F14" s="571">
        <v>452</v>
      </c>
      <c r="G14" s="571">
        <v>3045750</v>
      </c>
      <c r="H14" s="571">
        <v>138</v>
      </c>
      <c r="I14" s="571">
        <v>35770</v>
      </c>
      <c r="J14" s="579">
        <v>0</v>
      </c>
      <c r="K14" s="579">
        <v>0</v>
      </c>
      <c r="L14" s="580">
        <v>278</v>
      </c>
      <c r="M14" s="580">
        <v>2050000</v>
      </c>
      <c r="N14" s="579">
        <v>435</v>
      </c>
      <c r="O14" s="579">
        <v>3204001</v>
      </c>
      <c r="P14" s="53"/>
      <c r="Q14" s="53"/>
      <c r="R14" s="53"/>
    </row>
    <row r="15" spans="1:18" ht="55.5" customHeight="1">
      <c r="A15" s="450" t="s">
        <v>505</v>
      </c>
      <c r="B15" s="581">
        <v>275</v>
      </c>
      <c r="C15" s="571">
        <v>1756000</v>
      </c>
      <c r="D15" s="571">
        <v>6</v>
      </c>
      <c r="E15" s="571">
        <v>49000</v>
      </c>
      <c r="F15" s="571">
        <v>174</v>
      </c>
      <c r="G15" s="571">
        <v>1312000</v>
      </c>
      <c r="H15" s="571">
        <v>91</v>
      </c>
      <c r="I15" s="571">
        <v>23819</v>
      </c>
      <c r="J15" s="579">
        <v>0</v>
      </c>
      <c r="K15" s="579">
        <v>0</v>
      </c>
      <c r="L15" s="580">
        <v>249</v>
      </c>
      <c r="M15" s="580">
        <v>1793000</v>
      </c>
      <c r="N15" s="579">
        <v>528</v>
      </c>
      <c r="O15" s="579">
        <v>4258800</v>
      </c>
    </row>
    <row r="16" spans="1:18" ht="55.5" customHeight="1">
      <c r="A16" s="144" t="s">
        <v>797</v>
      </c>
      <c r="B16" s="576">
        <v>289</v>
      </c>
      <c r="C16" s="571">
        <v>2165000</v>
      </c>
      <c r="D16" s="576">
        <v>7</v>
      </c>
      <c r="E16" s="576">
        <v>49000</v>
      </c>
      <c r="F16" s="569">
        <v>174</v>
      </c>
      <c r="G16" s="576">
        <v>1707030</v>
      </c>
      <c r="H16" s="569">
        <v>150</v>
      </c>
      <c r="I16" s="573">
        <v>40078</v>
      </c>
      <c r="J16" s="579">
        <v>0</v>
      </c>
      <c r="K16" s="579">
        <v>0</v>
      </c>
      <c r="L16" s="576">
        <v>144</v>
      </c>
      <c r="M16" s="576">
        <v>1307000</v>
      </c>
      <c r="N16" s="579">
        <v>637</v>
      </c>
      <c r="O16" s="579">
        <v>4903200</v>
      </c>
    </row>
    <row r="17" spans="1:15" ht="55.5" customHeight="1">
      <c r="A17" s="144" t="s">
        <v>1044</v>
      </c>
      <c r="B17" s="570">
        <v>285</v>
      </c>
      <c r="C17" s="570">
        <v>2516000</v>
      </c>
      <c r="D17" s="570">
        <v>5</v>
      </c>
      <c r="E17" s="571">
        <v>43000</v>
      </c>
      <c r="F17" s="78">
        <v>133</v>
      </c>
      <c r="G17" s="571">
        <v>1758500</v>
      </c>
      <c r="H17" s="579">
        <v>160</v>
      </c>
      <c r="I17" s="579">
        <v>43753</v>
      </c>
      <c r="J17" s="579">
        <v>0</v>
      </c>
      <c r="K17" s="579">
        <v>0</v>
      </c>
      <c r="L17" s="573">
        <v>108</v>
      </c>
      <c r="M17" s="573">
        <v>851000</v>
      </c>
      <c r="N17" s="579">
        <v>655</v>
      </c>
      <c r="O17" s="579">
        <v>5653000</v>
      </c>
    </row>
    <row r="18" spans="1:15" ht="55.5" customHeight="1" thickBot="1">
      <c r="A18" s="352" t="s">
        <v>1238</v>
      </c>
      <c r="B18" s="582">
        <f>72+60+62+47</f>
        <v>241</v>
      </c>
      <c r="C18" s="583">
        <f>650000+569000+575000+479000</f>
        <v>2273000</v>
      </c>
      <c r="D18" s="583">
        <f>5+1+2+6</f>
        <v>14</v>
      </c>
      <c r="E18" s="583">
        <f>33000+10000+15000+53000</f>
        <v>111000</v>
      </c>
      <c r="F18" s="341">
        <f>37+26+20+22</f>
        <v>105</v>
      </c>
      <c r="G18" s="583">
        <f>506000+282000+232000+296500</f>
        <v>1316500</v>
      </c>
      <c r="H18" s="575">
        <f>42+39+29+41</f>
        <v>151</v>
      </c>
      <c r="I18" s="575">
        <f>12863+8685+7191+11717</f>
        <v>40456</v>
      </c>
      <c r="J18" s="575">
        <v>0</v>
      </c>
      <c r="K18" s="575">
        <v>0</v>
      </c>
      <c r="L18" s="575">
        <f>26+27+22+18</f>
        <v>93</v>
      </c>
      <c r="M18" s="575">
        <f>187000+247000+159000+153000</f>
        <v>746000</v>
      </c>
      <c r="N18" s="575">
        <f>129+155+230+151</f>
        <v>665</v>
      </c>
      <c r="O18" s="575">
        <f>1509000+2103000+2411000+1413000</f>
        <v>7436000</v>
      </c>
    </row>
  </sheetData>
  <mergeCells count="20">
    <mergeCell ref="A2:G2"/>
    <mergeCell ref="H2:O2"/>
    <mergeCell ref="A4:A5"/>
    <mergeCell ref="B4:G4"/>
    <mergeCell ref="H4:K4"/>
    <mergeCell ref="L4:M5"/>
    <mergeCell ref="N4:O5"/>
    <mergeCell ref="B5:C5"/>
    <mergeCell ref="D5:E5"/>
    <mergeCell ref="F5:G5"/>
    <mergeCell ref="H5:I5"/>
    <mergeCell ref="J5:K5"/>
    <mergeCell ref="L6:M6"/>
    <mergeCell ref="N6:O6"/>
    <mergeCell ref="A6:A8"/>
    <mergeCell ref="B6:C6"/>
    <mergeCell ref="D6:E6"/>
    <mergeCell ref="F6:G6"/>
    <mergeCell ref="H6:I6"/>
    <mergeCell ref="J6:K6"/>
  </mergeCells>
  <phoneticPr fontId="6" type="noConversion"/>
  <printOptions horizontalCentered="1"/>
  <pageMargins left="0.6692913385826772" right="0.6692913385826772" top="0.6692913385826772" bottom="0.6692913385826772" header="0.27559055118110237" footer="0.27559055118110237"/>
  <pageSetup paperSize="9" firstPageNumber="352" orientation="portrait" useFirstPageNumber="1"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工作表20"/>
  <dimension ref="A1:M33"/>
  <sheetViews>
    <sheetView showGridLines="0" view="pageBreakPreview" zoomScale="80" zoomScaleNormal="120" zoomScaleSheetLayoutView="80" workbookViewId="0">
      <pane xSplit="1" ySplit="6" topLeftCell="B13" activePane="bottomRight" state="frozen"/>
      <selection activeCell="K20" sqref="K20"/>
      <selection pane="topRight" activeCell="K20" sqref="K20"/>
      <selection pane="bottomLeft" activeCell="K20" sqref="K20"/>
      <selection pane="bottomRight" activeCell="C13" sqref="C13"/>
    </sheetView>
  </sheetViews>
  <sheetFormatPr defaultRowHeight="12.75"/>
  <cols>
    <col min="1" max="1" width="14.125" style="448" customWidth="1"/>
    <col min="2" max="3" width="14.125" style="31" customWidth="1"/>
    <col min="4" max="4" width="16.125" style="31" customWidth="1"/>
    <col min="5" max="6" width="14.125" style="31" customWidth="1"/>
    <col min="7" max="13" width="12.5" style="31" customWidth="1"/>
    <col min="14" max="16384" width="9" style="31"/>
  </cols>
  <sheetData>
    <row r="1" spans="1:13" s="448" customFormat="1" ht="18" customHeight="1">
      <c r="A1" s="121" t="s">
        <v>934</v>
      </c>
      <c r="B1" s="141"/>
      <c r="M1" s="459" t="s">
        <v>0</v>
      </c>
    </row>
    <row r="2" spans="1:13" s="448" customFormat="1" ht="24.95" customHeight="1">
      <c r="A2" s="679" t="s">
        <v>988</v>
      </c>
      <c r="B2" s="679"/>
      <c r="C2" s="679"/>
      <c r="D2" s="679"/>
      <c r="E2" s="679"/>
      <c r="F2" s="679"/>
      <c r="G2" s="679" t="s">
        <v>274</v>
      </c>
      <c r="H2" s="679"/>
      <c r="I2" s="679"/>
      <c r="J2" s="679"/>
      <c r="K2" s="679"/>
      <c r="L2" s="679"/>
      <c r="M2" s="679"/>
    </row>
    <row r="3" spans="1:13" s="448" customFormat="1" ht="15" customHeight="1" thickBot="1">
      <c r="A3" s="435"/>
      <c r="B3" s="435"/>
      <c r="C3" s="435"/>
      <c r="D3" s="435"/>
      <c r="E3" s="435"/>
      <c r="F3" s="141"/>
      <c r="G3" s="141"/>
      <c r="M3" s="446"/>
    </row>
    <row r="4" spans="1:13" s="448" customFormat="1" ht="24.95" customHeight="1">
      <c r="A4" s="824" t="s">
        <v>585</v>
      </c>
      <c r="B4" s="705" t="s">
        <v>586</v>
      </c>
      <c r="C4" s="709" t="s">
        <v>587</v>
      </c>
      <c r="D4" s="706"/>
      <c r="E4" s="826" t="s">
        <v>588</v>
      </c>
      <c r="F4" s="827"/>
      <c r="G4" s="827" t="s">
        <v>275</v>
      </c>
      <c r="H4" s="827"/>
      <c r="I4" s="828"/>
      <c r="J4" s="829" t="s">
        <v>589</v>
      </c>
      <c r="K4" s="830"/>
      <c r="L4" s="752" t="s">
        <v>590</v>
      </c>
      <c r="M4" s="829" t="s">
        <v>591</v>
      </c>
    </row>
    <row r="5" spans="1:13" s="448" customFormat="1" ht="32.1" customHeight="1">
      <c r="A5" s="645"/>
      <c r="B5" s="825"/>
      <c r="C5" s="432" t="s">
        <v>592</v>
      </c>
      <c r="D5" s="432" t="s">
        <v>593</v>
      </c>
      <c r="E5" s="432" t="s">
        <v>440</v>
      </c>
      <c r="F5" s="142" t="s">
        <v>594</v>
      </c>
      <c r="G5" s="436" t="s">
        <v>595</v>
      </c>
      <c r="H5" s="436" t="s">
        <v>596</v>
      </c>
      <c r="I5" s="142" t="s">
        <v>536</v>
      </c>
      <c r="J5" s="433" t="s">
        <v>597</v>
      </c>
      <c r="K5" s="433" t="s">
        <v>598</v>
      </c>
      <c r="L5" s="831"/>
      <c r="M5" s="655"/>
    </row>
    <row r="6" spans="1:13" s="448" customFormat="1" ht="45" customHeight="1" thickBot="1">
      <c r="A6" s="431" t="s">
        <v>276</v>
      </c>
      <c r="B6" s="143" t="s">
        <v>277</v>
      </c>
      <c r="C6" s="434" t="s">
        <v>278</v>
      </c>
      <c r="D6" s="434" t="s">
        <v>279</v>
      </c>
      <c r="E6" s="434" t="s">
        <v>6</v>
      </c>
      <c r="F6" s="434" t="s">
        <v>280</v>
      </c>
      <c r="G6" s="441" t="s">
        <v>281</v>
      </c>
      <c r="H6" s="441" t="s">
        <v>282</v>
      </c>
      <c r="I6" s="434" t="s">
        <v>40</v>
      </c>
      <c r="J6" s="434" t="s">
        <v>283</v>
      </c>
      <c r="K6" s="443" t="s">
        <v>284</v>
      </c>
      <c r="L6" s="443" t="s">
        <v>285</v>
      </c>
      <c r="M6" s="443" t="s">
        <v>286</v>
      </c>
    </row>
    <row r="7" spans="1:13" ht="59.1" customHeight="1">
      <c r="A7" s="444" t="s">
        <v>564</v>
      </c>
      <c r="B7" s="584">
        <v>65</v>
      </c>
      <c r="C7" s="283" t="s">
        <v>1420</v>
      </c>
      <c r="D7" s="78">
        <v>0</v>
      </c>
      <c r="E7" s="78">
        <f t="shared" ref="E7:E15" si="0">SUM(F7:I7)</f>
        <v>4</v>
      </c>
      <c r="F7" s="78">
        <v>4</v>
      </c>
      <c r="G7" s="78">
        <v>0</v>
      </c>
      <c r="H7" s="78">
        <v>0</v>
      </c>
      <c r="I7" s="78">
        <v>0</v>
      </c>
      <c r="J7" s="78">
        <v>4</v>
      </c>
      <c r="K7" s="78">
        <v>9</v>
      </c>
      <c r="L7" s="78">
        <v>66</v>
      </c>
      <c r="M7" s="78">
        <v>2325</v>
      </c>
    </row>
    <row r="8" spans="1:13" ht="59.1" customHeight="1">
      <c r="A8" s="444" t="s">
        <v>468</v>
      </c>
      <c r="B8" s="584">
        <v>54</v>
      </c>
      <c r="C8" s="283" t="s">
        <v>57</v>
      </c>
      <c r="D8" s="78">
        <v>0</v>
      </c>
      <c r="E8" s="78">
        <f t="shared" si="0"/>
        <v>2</v>
      </c>
      <c r="F8" s="78">
        <v>2</v>
      </c>
      <c r="G8" s="78">
        <v>0</v>
      </c>
      <c r="H8" s="78">
        <v>0</v>
      </c>
      <c r="I8" s="78">
        <v>0</v>
      </c>
      <c r="J8" s="78">
        <v>1</v>
      </c>
      <c r="K8" s="78">
        <v>3</v>
      </c>
      <c r="L8" s="78">
        <v>174</v>
      </c>
      <c r="M8" s="78">
        <v>2620</v>
      </c>
    </row>
    <row r="9" spans="1:13" ht="59.1" customHeight="1">
      <c r="A9" s="444" t="s">
        <v>469</v>
      </c>
      <c r="B9" s="584">
        <v>71</v>
      </c>
      <c r="C9" s="283" t="s">
        <v>57</v>
      </c>
      <c r="D9" s="78">
        <v>0</v>
      </c>
      <c r="E9" s="78">
        <f t="shared" si="0"/>
        <v>7</v>
      </c>
      <c r="F9" s="78">
        <v>7</v>
      </c>
      <c r="G9" s="78">
        <v>0</v>
      </c>
      <c r="H9" s="78">
        <v>0</v>
      </c>
      <c r="I9" s="78">
        <v>0</v>
      </c>
      <c r="J9" s="78">
        <v>3</v>
      </c>
      <c r="K9" s="78">
        <v>7</v>
      </c>
      <c r="L9" s="78">
        <v>137</v>
      </c>
      <c r="M9" s="78">
        <v>3435</v>
      </c>
    </row>
    <row r="10" spans="1:13" ht="59.1" customHeight="1">
      <c r="A10" s="444" t="s">
        <v>470</v>
      </c>
      <c r="B10" s="584">
        <v>89</v>
      </c>
      <c r="C10" s="78">
        <v>26</v>
      </c>
      <c r="D10" s="78">
        <v>404</v>
      </c>
      <c r="E10" s="78">
        <f t="shared" si="0"/>
        <v>14</v>
      </c>
      <c r="F10" s="78">
        <v>14</v>
      </c>
      <c r="G10" s="78">
        <v>0</v>
      </c>
      <c r="H10" s="78">
        <v>0</v>
      </c>
      <c r="I10" s="78">
        <v>0</v>
      </c>
      <c r="J10" s="78">
        <v>20</v>
      </c>
      <c r="K10" s="78">
        <v>63</v>
      </c>
      <c r="L10" s="78">
        <v>4367</v>
      </c>
      <c r="M10" s="78">
        <v>56094</v>
      </c>
    </row>
    <row r="11" spans="1:13" ht="59.1" customHeight="1">
      <c r="A11" s="444" t="s">
        <v>471</v>
      </c>
      <c r="B11" s="584">
        <v>47</v>
      </c>
      <c r="C11" s="78">
        <v>13</v>
      </c>
      <c r="D11" s="78">
        <v>317</v>
      </c>
      <c r="E11" s="78">
        <f t="shared" si="0"/>
        <v>2</v>
      </c>
      <c r="F11" s="78">
        <v>2</v>
      </c>
      <c r="G11" s="78">
        <v>0</v>
      </c>
      <c r="H11" s="78">
        <v>0</v>
      </c>
      <c r="I11" s="78">
        <v>0</v>
      </c>
      <c r="J11" s="78">
        <v>47</v>
      </c>
      <c r="K11" s="78">
        <v>122</v>
      </c>
      <c r="L11" s="78">
        <v>210</v>
      </c>
      <c r="M11" s="78">
        <v>4585</v>
      </c>
    </row>
    <row r="12" spans="1:13" ht="59.1" customHeight="1">
      <c r="A12" s="444" t="s">
        <v>472</v>
      </c>
      <c r="B12" s="584">
        <v>5</v>
      </c>
      <c r="C12" s="78">
        <v>1</v>
      </c>
      <c r="D12" s="78">
        <v>45</v>
      </c>
      <c r="E12" s="78">
        <f t="shared" si="0"/>
        <v>2</v>
      </c>
      <c r="F12" s="78">
        <v>2</v>
      </c>
      <c r="G12" s="78">
        <v>0</v>
      </c>
      <c r="H12" s="78">
        <v>0</v>
      </c>
      <c r="I12" s="78">
        <v>0</v>
      </c>
      <c r="J12" s="78">
        <v>4</v>
      </c>
      <c r="K12" s="78">
        <v>8</v>
      </c>
      <c r="L12" s="78" t="s">
        <v>41</v>
      </c>
      <c r="M12" s="78">
        <v>560</v>
      </c>
    </row>
    <row r="13" spans="1:13" ht="59.1" customHeight="1">
      <c r="A13" s="444" t="s">
        <v>505</v>
      </c>
      <c r="B13" s="584">
        <v>23</v>
      </c>
      <c r="C13" s="283">
        <v>0</v>
      </c>
      <c r="D13" s="78">
        <v>0</v>
      </c>
      <c r="E13" s="78">
        <f t="shared" si="0"/>
        <v>13</v>
      </c>
      <c r="F13" s="78">
        <v>13</v>
      </c>
      <c r="G13" s="78">
        <v>0</v>
      </c>
      <c r="H13" s="78">
        <v>0</v>
      </c>
      <c r="I13" s="78">
        <v>0</v>
      </c>
      <c r="J13" s="78">
        <v>37</v>
      </c>
      <c r="K13" s="78">
        <v>133</v>
      </c>
      <c r="L13" s="78">
        <v>8</v>
      </c>
      <c r="M13" s="78">
        <v>5420</v>
      </c>
    </row>
    <row r="14" spans="1:13" ht="59.1" customHeight="1">
      <c r="A14" s="444" t="s">
        <v>798</v>
      </c>
      <c r="B14" s="584">
        <v>22</v>
      </c>
      <c r="C14" s="283">
        <v>0</v>
      </c>
      <c r="D14" s="78">
        <v>0</v>
      </c>
      <c r="E14" s="78">
        <f t="shared" si="0"/>
        <v>9</v>
      </c>
      <c r="F14" s="78">
        <v>9</v>
      </c>
      <c r="G14" s="78">
        <v>0</v>
      </c>
      <c r="H14" s="78">
        <v>0</v>
      </c>
      <c r="I14" s="78">
        <v>0</v>
      </c>
      <c r="J14" s="78">
        <v>18</v>
      </c>
      <c r="K14" s="78">
        <v>55</v>
      </c>
      <c r="L14" s="78">
        <v>23</v>
      </c>
      <c r="M14" s="78">
        <v>3140</v>
      </c>
    </row>
    <row r="15" spans="1:13" s="46" customFormat="1" ht="59.1" customHeight="1">
      <c r="A15" s="444" t="s">
        <v>1045</v>
      </c>
      <c r="B15" s="584">
        <v>28</v>
      </c>
      <c r="C15" s="283">
        <v>0</v>
      </c>
      <c r="D15" s="78">
        <v>0</v>
      </c>
      <c r="E15" s="78">
        <f t="shared" si="0"/>
        <v>6</v>
      </c>
      <c r="F15" s="78">
        <v>6</v>
      </c>
      <c r="G15" s="78">
        <v>0</v>
      </c>
      <c r="H15" s="78">
        <v>0</v>
      </c>
      <c r="I15" s="78">
        <v>0</v>
      </c>
      <c r="J15" s="78">
        <v>25</v>
      </c>
      <c r="K15" s="78">
        <v>68</v>
      </c>
      <c r="L15" s="78">
        <v>0</v>
      </c>
      <c r="M15" s="78">
        <v>2560</v>
      </c>
    </row>
    <row r="16" spans="1:13" s="46" customFormat="1" ht="59.1" customHeight="1" thickBot="1">
      <c r="A16" s="445" t="s">
        <v>1242</v>
      </c>
      <c r="B16" s="339">
        <f>5+4+4+6</f>
        <v>19</v>
      </c>
      <c r="C16" s="420">
        <v>0</v>
      </c>
      <c r="D16" s="341">
        <v>0</v>
      </c>
      <c r="E16" s="341">
        <f t="shared" ref="E16" si="1">SUM(F16:I16)</f>
        <v>8</v>
      </c>
      <c r="F16" s="341">
        <f>2+0+3+1</f>
        <v>6</v>
      </c>
      <c r="G16" s="341">
        <v>0</v>
      </c>
      <c r="H16" s="341">
        <f>0+0+1+1</f>
        <v>2</v>
      </c>
      <c r="I16" s="341">
        <v>0</v>
      </c>
      <c r="J16" s="341">
        <f>5+4+5+4</f>
        <v>18</v>
      </c>
      <c r="K16" s="341">
        <f>23+16+11+17</f>
        <v>67</v>
      </c>
      <c r="L16" s="341">
        <v>0</v>
      </c>
      <c r="M16" s="341">
        <f>(840000+320000+920000+640000)/1000</f>
        <v>2720</v>
      </c>
    </row>
    <row r="17" spans="1:13" s="448" customFormat="1" ht="15" customHeight="1">
      <c r="A17" s="429" t="s">
        <v>937</v>
      </c>
      <c r="B17" s="429"/>
      <c r="C17" s="429"/>
      <c r="D17" s="429"/>
      <c r="E17" s="429"/>
      <c r="F17" s="429"/>
      <c r="G17" s="429" t="s">
        <v>114</v>
      </c>
      <c r="H17" s="429"/>
      <c r="I17" s="429"/>
      <c r="J17" s="429"/>
      <c r="K17" s="429"/>
      <c r="L17" s="429"/>
      <c r="M17" s="429"/>
    </row>
    <row r="18" spans="1:13" s="435" customFormat="1" ht="15" customHeight="1">
      <c r="A18" s="823" t="s">
        <v>1268</v>
      </c>
      <c r="B18" s="823"/>
      <c r="C18" s="823"/>
      <c r="D18" s="823"/>
      <c r="E18" s="823"/>
      <c r="F18" s="823"/>
      <c r="G18" s="429" t="s">
        <v>287</v>
      </c>
      <c r="H18" s="476"/>
      <c r="I18" s="476"/>
      <c r="J18" s="476"/>
      <c r="K18" s="476"/>
      <c r="L18" s="476"/>
      <c r="M18" s="476"/>
    </row>
    <row r="19" spans="1:13" s="448" customFormat="1" ht="15" customHeight="1">
      <c r="A19" s="823"/>
      <c r="B19" s="823"/>
      <c r="C19" s="823"/>
      <c r="D19" s="823"/>
      <c r="E19" s="823"/>
      <c r="F19" s="823"/>
      <c r="G19" s="429"/>
    </row>
    <row r="20" spans="1:13" s="448" customFormat="1"/>
    <row r="21" spans="1:13" s="448" customFormat="1"/>
    <row r="22" spans="1:13" s="448" customFormat="1"/>
    <row r="23" spans="1:13" s="448" customFormat="1"/>
    <row r="24" spans="1:13" s="448" customFormat="1"/>
    <row r="25" spans="1:13" s="448" customFormat="1"/>
    <row r="26" spans="1:13" s="448" customFormat="1"/>
    <row r="27" spans="1:13" s="448" customFormat="1"/>
    <row r="28" spans="1:13" s="448" customFormat="1"/>
    <row r="29" spans="1:13" s="448" customFormat="1"/>
    <row r="30" spans="1:13" s="448" customFormat="1"/>
    <row r="31" spans="1:13" s="448" customFormat="1"/>
    <row r="32" spans="1:13" s="448" customFormat="1"/>
    <row r="33" s="448" customFormat="1"/>
  </sheetData>
  <mergeCells count="12">
    <mergeCell ref="A19:F19"/>
    <mergeCell ref="A2:F2"/>
    <mergeCell ref="G2:M2"/>
    <mergeCell ref="A4:A5"/>
    <mergeCell ref="B4:B5"/>
    <mergeCell ref="C4:D4"/>
    <mergeCell ref="E4:F4"/>
    <mergeCell ref="G4:I4"/>
    <mergeCell ref="J4:K4"/>
    <mergeCell ref="L4:L5"/>
    <mergeCell ref="M4:M5"/>
    <mergeCell ref="A18:F18"/>
  </mergeCells>
  <phoneticPr fontId="6" type="noConversion"/>
  <printOptions horizontalCentered="1"/>
  <pageMargins left="0.6692913385826772" right="0.6692913385826772" top="0.6692913385826772" bottom="0.6692913385826772" header="0.27559055118110237" footer="0.27559055118110237"/>
  <pageSetup paperSize="9" firstPageNumber="352" orientation="portrait" useFirstPageNumber="1"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工作表3"/>
  <dimension ref="A1:K38"/>
  <sheetViews>
    <sheetView showGridLines="0" view="pageBreakPreview" zoomScaleNormal="120" zoomScaleSheetLayoutView="100" workbookViewId="0">
      <pane xSplit="2" ySplit="6" topLeftCell="C16" activePane="bottomRight" state="frozen"/>
      <selection pane="topRight"/>
      <selection pane="bottomLeft"/>
      <selection pane="bottomRight" activeCell="D13" sqref="D13"/>
    </sheetView>
  </sheetViews>
  <sheetFormatPr defaultRowHeight="12.75"/>
  <cols>
    <col min="1" max="1" width="11.5" style="99" customWidth="1"/>
    <col min="2" max="2" width="10.125" style="99" customWidth="1"/>
    <col min="3" max="5" width="22.125" style="25" customWidth="1"/>
    <col min="6" max="12" width="0" style="25" hidden="1" customWidth="1"/>
    <col min="13" max="16384" width="9" style="25"/>
  </cols>
  <sheetData>
    <row r="1" spans="1:11" s="99" customFormat="1" ht="18" customHeight="1">
      <c r="A1" s="90" t="s">
        <v>934</v>
      </c>
      <c r="B1" s="208"/>
      <c r="C1" s="208"/>
      <c r="D1" s="208"/>
      <c r="E1" s="222"/>
    </row>
    <row r="2" spans="1:11" s="99" customFormat="1" ht="24.95" customHeight="1">
      <c r="A2" s="619" t="s">
        <v>1028</v>
      </c>
      <c r="B2" s="619"/>
      <c r="C2" s="619"/>
      <c r="D2" s="619"/>
      <c r="E2" s="619"/>
      <c r="F2" s="223"/>
      <c r="G2" s="223"/>
      <c r="H2" s="223"/>
    </row>
    <row r="3" spans="1:11" s="99" customFormat="1" ht="20.100000000000001" customHeight="1">
      <c r="A3" s="619" t="s">
        <v>23</v>
      </c>
      <c r="B3" s="619"/>
      <c r="C3" s="619"/>
      <c r="D3" s="619"/>
      <c r="E3" s="619"/>
    </row>
    <row r="4" spans="1:11" s="99" customFormat="1" ht="12.95" customHeight="1" thickBot="1">
      <c r="A4" s="209"/>
      <c r="B4" s="209"/>
      <c r="C4" s="209"/>
      <c r="D4" s="209"/>
      <c r="E4" s="209"/>
    </row>
    <row r="5" spans="1:11" s="226" customFormat="1" ht="18" customHeight="1">
      <c r="A5" s="620" t="s">
        <v>719</v>
      </c>
      <c r="B5" s="621"/>
      <c r="C5" s="224" t="s">
        <v>720</v>
      </c>
      <c r="D5" s="298" t="s">
        <v>1169</v>
      </c>
      <c r="E5" s="225" t="s">
        <v>721</v>
      </c>
    </row>
    <row r="6" spans="1:11" s="226" customFormat="1" ht="36.6" customHeight="1" thickBot="1">
      <c r="A6" s="622" t="s">
        <v>24</v>
      </c>
      <c r="B6" s="623"/>
      <c r="C6" s="227" t="s">
        <v>25</v>
      </c>
      <c r="D6" s="228" t="s">
        <v>26</v>
      </c>
      <c r="E6" s="229" t="s">
        <v>27</v>
      </c>
    </row>
    <row r="7" spans="1:11" s="72" customFormat="1" ht="24.75" customHeight="1">
      <c r="A7" s="210" t="s">
        <v>717</v>
      </c>
      <c r="B7" s="211" t="s">
        <v>28</v>
      </c>
      <c r="C7" s="73">
        <f>267+175</f>
        <v>442</v>
      </c>
      <c r="D7" s="73">
        <v>187</v>
      </c>
      <c r="E7" s="73">
        <f>21601+15124</f>
        <v>36725</v>
      </c>
      <c r="F7" s="72">
        <v>407</v>
      </c>
      <c r="G7" s="72" t="b">
        <f>IF(C7=F7,1)</f>
        <v>0</v>
      </c>
      <c r="H7" s="72">
        <v>21644</v>
      </c>
      <c r="I7" s="72">
        <v>17691</v>
      </c>
      <c r="J7" s="72">
        <f>H7+I7</f>
        <v>39335</v>
      </c>
      <c r="K7" s="72" t="b">
        <f>IF(J7=E7,1)</f>
        <v>0</v>
      </c>
    </row>
    <row r="8" spans="1:11" s="72" customFormat="1" ht="24.75" customHeight="1">
      <c r="A8" s="210" t="s">
        <v>722</v>
      </c>
      <c r="B8" s="211" t="s">
        <v>29</v>
      </c>
      <c r="C8" s="73">
        <f>270+180</f>
        <v>450</v>
      </c>
      <c r="D8" s="73">
        <v>207</v>
      </c>
      <c r="E8" s="73">
        <f>23439+15633</f>
        <v>39072</v>
      </c>
      <c r="F8" s="72">
        <v>442</v>
      </c>
      <c r="G8" s="72" t="b">
        <f t="shared" ref="G8:G14" si="0">IF(C8=F8,1)</f>
        <v>0</v>
      </c>
      <c r="H8" s="72">
        <v>21601</v>
      </c>
      <c r="I8" s="72">
        <v>15124</v>
      </c>
      <c r="J8" s="72">
        <f t="shared" ref="J8:J16" si="1">H8+I8</f>
        <v>36725</v>
      </c>
      <c r="K8" s="72" t="b">
        <f t="shared" ref="K8:K15" si="2">IF(J8=E8,1)</f>
        <v>0</v>
      </c>
    </row>
    <row r="9" spans="1:11" s="72" customFormat="1" ht="24.75" customHeight="1">
      <c r="A9" s="210" t="s">
        <v>718</v>
      </c>
      <c r="B9" s="211" t="s">
        <v>30</v>
      </c>
      <c r="C9" s="73">
        <v>455</v>
      </c>
      <c r="D9" s="73">
        <v>248</v>
      </c>
      <c r="E9" s="73">
        <v>39160</v>
      </c>
      <c r="F9" s="72">
        <v>450</v>
      </c>
      <c r="G9" s="72" t="b">
        <f t="shared" si="0"/>
        <v>0</v>
      </c>
      <c r="H9" s="72">
        <v>23439</v>
      </c>
      <c r="I9" s="72">
        <v>15633</v>
      </c>
      <c r="J9" s="72">
        <f t="shared" si="1"/>
        <v>39072</v>
      </c>
      <c r="K9" s="72" t="b">
        <f t="shared" si="2"/>
        <v>0</v>
      </c>
    </row>
    <row r="10" spans="1:11" s="72" customFormat="1" ht="24.75" customHeight="1">
      <c r="A10" s="210" t="s">
        <v>712</v>
      </c>
      <c r="B10" s="211" t="s">
        <v>31</v>
      </c>
      <c r="C10" s="73">
        <v>466</v>
      </c>
      <c r="D10" s="73">
        <v>220</v>
      </c>
      <c r="E10" s="73">
        <v>53251</v>
      </c>
      <c r="F10" s="72">
        <v>455</v>
      </c>
      <c r="G10" s="72" t="b">
        <f t="shared" si="0"/>
        <v>0</v>
      </c>
      <c r="H10" s="72">
        <v>23439</v>
      </c>
      <c r="I10" s="72">
        <v>15721</v>
      </c>
      <c r="J10" s="72">
        <f t="shared" si="1"/>
        <v>39160</v>
      </c>
      <c r="K10" s="72" t="b">
        <f t="shared" si="2"/>
        <v>0</v>
      </c>
    </row>
    <row r="11" spans="1:11" s="72" customFormat="1" ht="24.75" customHeight="1">
      <c r="A11" s="210" t="s">
        <v>713</v>
      </c>
      <c r="B11" s="211" t="s">
        <v>32</v>
      </c>
      <c r="C11" s="73">
        <v>468</v>
      </c>
      <c r="D11" s="73">
        <v>231</v>
      </c>
      <c r="E11" s="73">
        <v>43244</v>
      </c>
      <c r="F11" s="72">
        <v>466</v>
      </c>
      <c r="G11" s="72" t="b">
        <f t="shared" si="0"/>
        <v>0</v>
      </c>
      <c r="H11" s="72">
        <v>23686</v>
      </c>
      <c r="I11" s="72">
        <v>29565</v>
      </c>
      <c r="J11" s="72">
        <f t="shared" si="1"/>
        <v>53251</v>
      </c>
      <c r="K11" s="72" t="b">
        <f t="shared" si="2"/>
        <v>0</v>
      </c>
    </row>
    <row r="12" spans="1:11" s="72" customFormat="1" ht="24.75" customHeight="1">
      <c r="A12" s="210" t="s">
        <v>714</v>
      </c>
      <c r="B12" s="211" t="s">
        <v>33</v>
      </c>
      <c r="C12" s="73">
        <v>473</v>
      </c>
      <c r="D12" s="73" t="s">
        <v>57</v>
      </c>
      <c r="E12" s="73" t="s">
        <v>57</v>
      </c>
      <c r="F12" s="72">
        <v>468</v>
      </c>
      <c r="G12" s="72" t="b">
        <f t="shared" si="0"/>
        <v>0</v>
      </c>
      <c r="H12" s="72">
        <v>20430</v>
      </c>
      <c r="I12" s="72">
        <v>22814</v>
      </c>
      <c r="J12" s="72">
        <f t="shared" si="1"/>
        <v>43244</v>
      </c>
      <c r="K12" s="72" t="b">
        <f t="shared" si="2"/>
        <v>0</v>
      </c>
    </row>
    <row r="13" spans="1:11" s="72" customFormat="1" ht="24.75" customHeight="1">
      <c r="A13" s="210" t="s">
        <v>723</v>
      </c>
      <c r="B13" s="211" t="s">
        <v>35</v>
      </c>
      <c r="C13" s="73">
        <v>477</v>
      </c>
      <c r="D13" s="73" t="s">
        <v>1303</v>
      </c>
      <c r="E13" s="73" t="s">
        <v>57</v>
      </c>
      <c r="F13" s="72">
        <v>473</v>
      </c>
      <c r="G13" s="72" t="b">
        <f t="shared" si="0"/>
        <v>0</v>
      </c>
      <c r="H13" s="72">
        <v>22357</v>
      </c>
      <c r="I13" s="72">
        <v>0</v>
      </c>
      <c r="J13" s="72">
        <f t="shared" si="1"/>
        <v>22357</v>
      </c>
      <c r="K13" s="72" t="b">
        <f t="shared" si="2"/>
        <v>0</v>
      </c>
    </row>
    <row r="14" spans="1:11" s="72" customFormat="1" ht="24.75" customHeight="1">
      <c r="A14" s="210" t="s">
        <v>735</v>
      </c>
      <c r="B14" s="211" t="s">
        <v>734</v>
      </c>
      <c r="C14" s="74">
        <v>461</v>
      </c>
      <c r="D14" s="73" t="s">
        <v>57</v>
      </c>
      <c r="E14" s="73" t="s">
        <v>57</v>
      </c>
      <c r="F14" s="72">
        <v>477</v>
      </c>
      <c r="G14" s="72" t="b">
        <f t="shared" si="0"/>
        <v>0</v>
      </c>
      <c r="H14" s="72">
        <v>21908</v>
      </c>
      <c r="I14" s="72">
        <v>0</v>
      </c>
      <c r="J14" s="72">
        <f t="shared" si="1"/>
        <v>21908</v>
      </c>
      <c r="K14" s="72" t="b">
        <f t="shared" si="2"/>
        <v>0</v>
      </c>
    </row>
    <row r="15" spans="1:11" s="72" customFormat="1" ht="24.75" customHeight="1">
      <c r="A15" s="210" t="s">
        <v>1041</v>
      </c>
      <c r="B15" s="211" t="s">
        <v>1040</v>
      </c>
      <c r="C15" s="74" t="s">
        <v>1284</v>
      </c>
      <c r="D15" s="74" t="s">
        <v>57</v>
      </c>
      <c r="E15" s="74" t="s">
        <v>57</v>
      </c>
      <c r="F15" s="72">
        <v>461</v>
      </c>
      <c r="G15" s="72">
        <f>IF(C15=F15,1,0)</f>
        <v>0</v>
      </c>
      <c r="H15" s="72">
        <v>22615</v>
      </c>
      <c r="I15" s="72">
        <v>0</v>
      </c>
      <c r="J15" s="72">
        <f t="shared" si="1"/>
        <v>22615</v>
      </c>
      <c r="K15" s="72" t="b">
        <f t="shared" si="2"/>
        <v>0</v>
      </c>
    </row>
    <row r="16" spans="1:11" s="72" customFormat="1" ht="24.75" customHeight="1">
      <c r="A16" s="210" t="s">
        <v>1246</v>
      </c>
      <c r="B16" s="211" t="s">
        <v>1224</v>
      </c>
      <c r="C16" s="407">
        <f>C17+C23</f>
        <v>479</v>
      </c>
      <c r="D16" s="74" t="s">
        <v>57</v>
      </c>
      <c r="E16" s="74" t="s">
        <v>57</v>
      </c>
      <c r="H16" s="72">
        <v>23084</v>
      </c>
      <c r="I16" s="72">
        <v>0</v>
      </c>
      <c r="J16" s="72">
        <f t="shared" si="1"/>
        <v>23084</v>
      </c>
      <c r="K16" s="72" t="b">
        <f>IF(J16=E17,1)</f>
        <v>0</v>
      </c>
    </row>
    <row r="17" spans="1:11" s="72" customFormat="1" ht="24.75" customHeight="1">
      <c r="A17" s="212" t="s">
        <v>724</v>
      </c>
      <c r="B17" s="211"/>
      <c r="C17" s="74">
        <f>C18+C19+C20+C21+C22</f>
        <v>294</v>
      </c>
      <c r="D17" s="74">
        <v>0</v>
      </c>
      <c r="E17" s="74">
        <f>E18+E19+E20+E21+E22</f>
        <v>23099</v>
      </c>
    </row>
    <row r="18" spans="1:11" s="72" customFormat="1" ht="24.75" customHeight="1">
      <c r="A18" s="213" t="s">
        <v>725</v>
      </c>
      <c r="B18" s="214" t="s">
        <v>36</v>
      </c>
      <c r="C18" s="74">
        <v>193</v>
      </c>
      <c r="D18" s="74">
        <v>0</v>
      </c>
      <c r="E18" s="74">
        <v>18049</v>
      </c>
    </row>
    <row r="19" spans="1:11" s="72" customFormat="1" ht="24.75" customHeight="1">
      <c r="A19" s="213" t="s">
        <v>726</v>
      </c>
      <c r="B19" s="214" t="s">
        <v>37</v>
      </c>
      <c r="C19" s="74">
        <v>78</v>
      </c>
      <c r="D19" s="74">
        <v>0</v>
      </c>
      <c r="E19" s="74">
        <v>3753</v>
      </c>
    </row>
    <row r="20" spans="1:11" s="72" customFormat="1" ht="24.75" customHeight="1">
      <c r="A20" s="213" t="s">
        <v>727</v>
      </c>
      <c r="B20" s="214" t="s">
        <v>38</v>
      </c>
      <c r="C20" s="74">
        <v>22</v>
      </c>
      <c r="D20" s="74">
        <v>0</v>
      </c>
      <c r="E20" s="74">
        <v>1280</v>
      </c>
    </row>
    <row r="21" spans="1:11" s="72" customFormat="1" ht="24.75" customHeight="1">
      <c r="A21" s="213" t="s">
        <v>728</v>
      </c>
      <c r="B21" s="214" t="s">
        <v>39</v>
      </c>
      <c r="C21" s="74">
        <v>1</v>
      </c>
      <c r="D21" s="74">
        <v>0</v>
      </c>
      <c r="E21" s="74">
        <v>17</v>
      </c>
    </row>
    <row r="22" spans="1:11" s="72" customFormat="1" ht="24" customHeight="1">
      <c r="A22" s="213" t="s">
        <v>729</v>
      </c>
      <c r="B22" s="214" t="s">
        <v>40</v>
      </c>
      <c r="C22" s="74">
        <v>0</v>
      </c>
      <c r="D22" s="74">
        <v>0</v>
      </c>
      <c r="E22" s="74">
        <v>0</v>
      </c>
    </row>
    <row r="23" spans="1:11" s="72" customFormat="1" ht="24" customHeight="1">
      <c r="A23" s="212" t="s">
        <v>730</v>
      </c>
      <c r="B23" s="214"/>
      <c r="C23" s="74">
        <f>SUM(C24:C27)</f>
        <v>185</v>
      </c>
      <c r="D23" s="74" t="s">
        <v>57</v>
      </c>
      <c r="E23" s="74" t="s">
        <v>57</v>
      </c>
    </row>
    <row r="24" spans="1:11" s="72" customFormat="1" ht="24.75" customHeight="1">
      <c r="A24" s="213" t="s">
        <v>731</v>
      </c>
      <c r="B24" s="214" t="s">
        <v>42</v>
      </c>
      <c r="C24" s="74">
        <v>27</v>
      </c>
      <c r="D24" s="74" t="s">
        <v>57</v>
      </c>
      <c r="E24" s="74" t="s">
        <v>57</v>
      </c>
    </row>
    <row r="25" spans="1:11" s="72" customFormat="1" ht="24.75" customHeight="1">
      <c r="A25" s="213" t="s">
        <v>732</v>
      </c>
      <c r="B25" s="214" t="s">
        <v>43</v>
      </c>
      <c r="C25" s="74">
        <v>157</v>
      </c>
      <c r="D25" s="74" t="s">
        <v>57</v>
      </c>
      <c r="E25" s="74" t="s">
        <v>57</v>
      </c>
    </row>
    <row r="26" spans="1:11" s="72" customFormat="1" ht="24" customHeight="1">
      <c r="A26" s="213" t="s">
        <v>1029</v>
      </c>
      <c r="B26" s="214" t="s">
        <v>44</v>
      </c>
      <c r="C26" s="74">
        <v>1</v>
      </c>
      <c r="D26" s="74" t="s">
        <v>57</v>
      </c>
      <c r="E26" s="74" t="s">
        <v>57</v>
      </c>
    </row>
    <row r="27" spans="1:11" s="72" customFormat="1" ht="24" customHeight="1" thickBot="1">
      <c r="A27" s="215" t="s">
        <v>733</v>
      </c>
      <c r="B27" s="216" t="s">
        <v>40</v>
      </c>
      <c r="C27" s="408">
        <v>0</v>
      </c>
      <c r="D27" s="408" t="s">
        <v>57</v>
      </c>
      <c r="E27" s="408" t="s">
        <v>57</v>
      </c>
    </row>
    <row r="28" spans="1:11" s="99" customFormat="1" ht="12.75" customHeight="1">
      <c r="A28" s="217" t="s">
        <v>1030</v>
      </c>
      <c r="B28" s="218"/>
      <c r="C28" s="218"/>
      <c r="D28" s="218"/>
      <c r="E28" s="218"/>
      <c r="F28" s="230"/>
      <c r="G28" s="230"/>
      <c r="H28" s="230"/>
      <c r="I28" s="230"/>
      <c r="J28" s="230"/>
      <c r="K28" s="230"/>
    </row>
    <row r="29" spans="1:11" s="99" customFormat="1" ht="12.75" customHeight="1">
      <c r="A29" s="217" t="s">
        <v>45</v>
      </c>
      <c r="B29" s="217"/>
      <c r="C29" s="217"/>
      <c r="D29" s="217"/>
      <c r="E29" s="217"/>
      <c r="F29" s="221"/>
      <c r="G29" s="221"/>
      <c r="H29" s="221"/>
      <c r="I29" s="221"/>
      <c r="J29" s="221"/>
      <c r="K29" s="221"/>
    </row>
    <row r="30" spans="1:11" s="99" customFormat="1" ht="12.75" customHeight="1">
      <c r="A30" s="219" t="s">
        <v>1031</v>
      </c>
      <c r="B30" s="219"/>
      <c r="C30" s="219"/>
      <c r="D30" s="219"/>
      <c r="E30" s="219"/>
    </row>
    <row r="31" spans="1:11" s="99" customFormat="1" ht="12.75" customHeight="1">
      <c r="A31" s="219" t="s">
        <v>1032</v>
      </c>
      <c r="B31" s="219"/>
      <c r="C31" s="219"/>
      <c r="D31" s="219"/>
      <c r="E31" s="219"/>
    </row>
    <row r="32" spans="1:11" s="124" customFormat="1" ht="12.75" customHeight="1">
      <c r="A32" s="219" t="s">
        <v>1033</v>
      </c>
      <c r="B32" s="219"/>
      <c r="C32" s="219"/>
      <c r="D32" s="219"/>
      <c r="E32" s="219"/>
    </row>
    <row r="33" spans="1:5" s="99" customFormat="1" ht="12.75" customHeight="1">
      <c r="A33" s="618" t="s">
        <v>425</v>
      </c>
      <c r="B33" s="618"/>
      <c r="C33" s="618"/>
      <c r="D33" s="618"/>
      <c r="E33" s="618"/>
    </row>
    <row r="34" spans="1:5" s="99" customFormat="1" ht="12.75" customHeight="1">
      <c r="A34" s="618" t="s">
        <v>925</v>
      </c>
      <c r="B34" s="618"/>
      <c r="C34" s="618"/>
      <c r="D34" s="618"/>
      <c r="E34" s="618"/>
    </row>
    <row r="35" spans="1:5" s="99" customFormat="1" ht="12.75" customHeight="1">
      <c r="A35" s="618" t="s">
        <v>926</v>
      </c>
      <c r="B35" s="618"/>
      <c r="C35" s="618"/>
      <c r="D35" s="618"/>
      <c r="E35" s="618"/>
    </row>
    <row r="36" spans="1:5" s="99" customFormat="1" ht="12.75" customHeight="1">
      <c r="A36" s="217" t="s">
        <v>1034</v>
      </c>
      <c r="B36" s="220"/>
      <c r="C36" s="220"/>
      <c r="D36" s="220"/>
      <c r="E36" s="220"/>
    </row>
    <row r="37" spans="1:5" s="99" customFormat="1" ht="12.75" customHeight="1">
      <c r="A37" s="217" t="s">
        <v>46</v>
      </c>
      <c r="B37" s="220"/>
      <c r="C37" s="220"/>
      <c r="D37" s="220"/>
      <c r="E37" s="220"/>
    </row>
    <row r="38" spans="1:5" ht="13.9" customHeight="1">
      <c r="A38" s="221"/>
    </row>
  </sheetData>
  <mergeCells count="7">
    <mergeCell ref="A35:E35"/>
    <mergeCell ref="A2:E2"/>
    <mergeCell ref="A3:E3"/>
    <mergeCell ref="A5:B5"/>
    <mergeCell ref="A6:B6"/>
    <mergeCell ref="A33:E33"/>
    <mergeCell ref="A34:E34"/>
  </mergeCells>
  <phoneticPr fontId="6" type="noConversion"/>
  <printOptions horizontalCentered="1"/>
  <pageMargins left="0.6692913385826772" right="0.6692913385826772" top="0.6692913385826772" bottom="0.6692913385826772" header="0.27559055118110237" footer="0.27559055118110237"/>
  <pageSetup paperSize="9" firstPageNumber="352" orientation="portrait" useFirstPageNumber="1"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工作表21"/>
  <dimension ref="A1:T42"/>
  <sheetViews>
    <sheetView showGridLines="0" view="pageBreakPreview" topLeftCell="A8" zoomScale="90" zoomScaleNormal="120" zoomScaleSheetLayoutView="90" workbookViewId="0">
      <selection activeCell="I14" sqref="I14"/>
    </sheetView>
  </sheetViews>
  <sheetFormatPr defaultRowHeight="12.75"/>
  <cols>
    <col min="1" max="1" width="9.625" style="452" customWidth="1"/>
    <col min="2" max="2" width="13.125" style="8" customWidth="1"/>
    <col min="3" max="7" width="9.125" style="8" customWidth="1"/>
    <col min="8" max="9" width="9.5" style="8" customWidth="1"/>
    <col min="10" max="18" width="9.75" style="8" customWidth="1"/>
    <col min="19" max="20" width="0" style="8" hidden="1" customWidth="1"/>
    <col min="21" max="16384" width="9" style="8"/>
  </cols>
  <sheetData>
    <row r="1" spans="1:20" s="452" customFormat="1" ht="18" customHeight="1">
      <c r="A1" s="121" t="s">
        <v>934</v>
      </c>
      <c r="Q1" s="768" t="s">
        <v>0</v>
      </c>
      <c r="R1" s="768"/>
    </row>
    <row r="2" spans="1:20" s="452" customFormat="1" ht="24.95" customHeight="1">
      <c r="A2" s="767" t="s">
        <v>979</v>
      </c>
      <c r="B2" s="767"/>
      <c r="C2" s="767"/>
      <c r="D2" s="767"/>
      <c r="E2" s="767"/>
      <c r="F2" s="767"/>
      <c r="G2" s="767"/>
      <c r="H2" s="767"/>
      <c r="I2" s="767"/>
      <c r="J2" s="767" t="s">
        <v>288</v>
      </c>
      <c r="K2" s="767"/>
      <c r="L2" s="767"/>
      <c r="M2" s="767"/>
      <c r="N2" s="767"/>
      <c r="O2" s="767"/>
      <c r="P2" s="767"/>
      <c r="Q2" s="767"/>
      <c r="R2" s="767"/>
    </row>
    <row r="3" spans="1:20" s="452" customFormat="1" ht="15" customHeight="1" thickBot="1">
      <c r="A3" s="467"/>
      <c r="B3" s="467"/>
      <c r="C3" s="467"/>
      <c r="D3" s="467"/>
      <c r="E3" s="467"/>
      <c r="G3" s="467"/>
      <c r="H3" s="467"/>
      <c r="I3" s="467"/>
      <c r="J3" s="467"/>
      <c r="K3" s="467"/>
      <c r="L3" s="467"/>
      <c r="M3" s="467"/>
      <c r="N3" s="467"/>
      <c r="O3" s="467"/>
      <c r="P3" s="467"/>
    </row>
    <row r="4" spans="1:20" s="96" customFormat="1" ht="24.95" customHeight="1">
      <c r="A4" s="718" t="s">
        <v>453</v>
      </c>
      <c r="B4" s="832" t="s">
        <v>799</v>
      </c>
      <c r="C4" s="834" t="s">
        <v>577</v>
      </c>
      <c r="D4" s="835"/>
      <c r="E4" s="835"/>
      <c r="F4" s="835"/>
      <c r="G4" s="835"/>
      <c r="H4" s="835"/>
      <c r="I4" s="835"/>
      <c r="J4" s="721" t="s">
        <v>289</v>
      </c>
      <c r="K4" s="721"/>
      <c r="L4" s="721"/>
      <c r="M4" s="721"/>
      <c r="N4" s="721"/>
      <c r="O4" s="721"/>
      <c r="P4" s="721"/>
      <c r="Q4" s="721"/>
      <c r="R4" s="721"/>
      <c r="S4" s="457"/>
      <c r="T4" s="457"/>
    </row>
    <row r="5" spans="1:20" s="96" customFormat="1" ht="29.25" customHeight="1">
      <c r="A5" s="719"/>
      <c r="B5" s="833"/>
      <c r="C5" s="723" t="s">
        <v>980</v>
      </c>
      <c r="D5" s="723" t="s">
        <v>578</v>
      </c>
      <c r="E5" s="723" t="s">
        <v>579</v>
      </c>
      <c r="F5" s="723" t="s">
        <v>580</v>
      </c>
      <c r="G5" s="723" t="s">
        <v>981</v>
      </c>
      <c r="H5" s="723" t="s">
        <v>982</v>
      </c>
      <c r="I5" s="723" t="s">
        <v>983</v>
      </c>
      <c r="J5" s="725" t="s">
        <v>984</v>
      </c>
      <c r="K5" s="723"/>
      <c r="L5" s="723"/>
      <c r="M5" s="723"/>
      <c r="N5" s="723"/>
      <c r="O5" s="723"/>
      <c r="P5" s="723"/>
      <c r="Q5" s="723" t="s">
        <v>581</v>
      </c>
      <c r="R5" s="739" t="s">
        <v>445</v>
      </c>
      <c r="S5" s="457"/>
      <c r="T5" s="457"/>
    </row>
    <row r="6" spans="1:20" s="96" customFormat="1" ht="20.45" customHeight="1">
      <c r="A6" s="719"/>
      <c r="B6" s="760" t="s">
        <v>290</v>
      </c>
      <c r="C6" s="756"/>
      <c r="D6" s="756"/>
      <c r="E6" s="756"/>
      <c r="F6" s="756"/>
      <c r="G6" s="756"/>
      <c r="H6" s="756"/>
      <c r="I6" s="756"/>
      <c r="J6" s="725" t="s">
        <v>459</v>
      </c>
      <c r="K6" s="723" t="s">
        <v>985</v>
      </c>
      <c r="L6" s="723" t="s">
        <v>582</v>
      </c>
      <c r="M6" s="723" t="s">
        <v>583</v>
      </c>
      <c r="N6" s="723" t="s">
        <v>584</v>
      </c>
      <c r="O6" s="723" t="s">
        <v>986</v>
      </c>
      <c r="P6" s="723" t="s">
        <v>987</v>
      </c>
      <c r="Q6" s="756"/>
      <c r="R6" s="736"/>
      <c r="S6" s="457"/>
      <c r="T6" s="457"/>
    </row>
    <row r="7" spans="1:20" s="96" customFormat="1" ht="30" customHeight="1">
      <c r="A7" s="719"/>
      <c r="B7" s="760"/>
      <c r="C7" s="756" t="s">
        <v>148</v>
      </c>
      <c r="D7" s="756" t="s">
        <v>291</v>
      </c>
      <c r="E7" s="756" t="s">
        <v>292</v>
      </c>
      <c r="F7" s="756" t="s">
        <v>293</v>
      </c>
      <c r="G7" s="756" t="s">
        <v>294</v>
      </c>
      <c r="H7" s="756" t="s">
        <v>295</v>
      </c>
      <c r="I7" s="756" t="s">
        <v>426</v>
      </c>
      <c r="J7" s="742"/>
      <c r="K7" s="756"/>
      <c r="L7" s="756"/>
      <c r="M7" s="756"/>
      <c r="N7" s="756"/>
      <c r="O7" s="756"/>
      <c r="P7" s="756"/>
      <c r="Q7" s="756" t="s">
        <v>296</v>
      </c>
      <c r="R7" s="736" t="s">
        <v>174</v>
      </c>
      <c r="S7" s="457"/>
      <c r="T7" s="457"/>
    </row>
    <row r="8" spans="1:20" s="96" customFormat="1" ht="38.25" customHeight="1" thickBot="1">
      <c r="A8" s="451" t="s">
        <v>276</v>
      </c>
      <c r="B8" s="761"/>
      <c r="C8" s="757"/>
      <c r="D8" s="757"/>
      <c r="E8" s="757"/>
      <c r="F8" s="757"/>
      <c r="G8" s="757"/>
      <c r="H8" s="757"/>
      <c r="I8" s="757"/>
      <c r="J8" s="464" t="s">
        <v>297</v>
      </c>
      <c r="K8" s="462" t="s">
        <v>298</v>
      </c>
      <c r="L8" s="462" t="s">
        <v>299</v>
      </c>
      <c r="M8" s="462" t="s">
        <v>300</v>
      </c>
      <c r="N8" s="462" t="s">
        <v>301</v>
      </c>
      <c r="O8" s="462" t="s">
        <v>302</v>
      </c>
      <c r="P8" s="462" t="s">
        <v>303</v>
      </c>
      <c r="Q8" s="757"/>
      <c r="R8" s="763"/>
      <c r="S8" s="457"/>
      <c r="T8" s="457"/>
    </row>
    <row r="9" spans="1:20" ht="56.25" customHeight="1">
      <c r="A9" s="450" t="s">
        <v>564</v>
      </c>
      <c r="B9" s="585">
        <v>52</v>
      </c>
      <c r="C9" s="569">
        <f t="shared" ref="C9:C15" si="0">SUM(D9:J9,Q9,R9)</f>
        <v>610</v>
      </c>
      <c r="D9" s="569">
        <v>15</v>
      </c>
      <c r="E9" s="569">
        <v>434</v>
      </c>
      <c r="F9" s="283" t="s">
        <v>57</v>
      </c>
      <c r="G9" s="569">
        <v>0</v>
      </c>
      <c r="H9" s="569">
        <v>0</v>
      </c>
      <c r="I9" s="283" t="s">
        <v>57</v>
      </c>
      <c r="J9" s="569">
        <f t="shared" ref="J9:J14" si="1">SUM(K9:P9)</f>
        <v>23</v>
      </c>
      <c r="K9" s="569">
        <v>8</v>
      </c>
      <c r="L9" s="569">
        <v>0</v>
      </c>
      <c r="M9" s="569">
        <v>13</v>
      </c>
      <c r="N9" s="569">
        <v>1</v>
      </c>
      <c r="O9" s="569">
        <v>1</v>
      </c>
      <c r="P9" s="569">
        <v>0</v>
      </c>
      <c r="Q9" s="569">
        <v>11</v>
      </c>
      <c r="R9" s="569">
        <v>127</v>
      </c>
    </row>
    <row r="10" spans="1:20" ht="56.25" customHeight="1">
      <c r="A10" s="450" t="s">
        <v>565</v>
      </c>
      <c r="B10" s="585">
        <v>80</v>
      </c>
      <c r="C10" s="569">
        <f t="shared" si="0"/>
        <v>447</v>
      </c>
      <c r="D10" s="569">
        <v>5</v>
      </c>
      <c r="E10" s="569">
        <v>87</v>
      </c>
      <c r="F10" s="283" t="s">
        <v>57</v>
      </c>
      <c r="G10" s="569">
        <v>1</v>
      </c>
      <c r="H10" s="569">
        <v>0</v>
      </c>
      <c r="I10" s="283" t="s">
        <v>57</v>
      </c>
      <c r="J10" s="569">
        <f t="shared" si="1"/>
        <v>19</v>
      </c>
      <c r="K10" s="569">
        <v>8</v>
      </c>
      <c r="L10" s="569">
        <v>1</v>
      </c>
      <c r="M10" s="569">
        <v>10</v>
      </c>
      <c r="N10" s="569">
        <v>0</v>
      </c>
      <c r="O10" s="569">
        <v>0</v>
      </c>
      <c r="P10" s="569">
        <v>0</v>
      </c>
      <c r="Q10" s="569">
        <v>7</v>
      </c>
      <c r="R10" s="569">
        <v>328</v>
      </c>
    </row>
    <row r="11" spans="1:20" ht="56.25" customHeight="1">
      <c r="A11" s="450" t="s">
        <v>566</v>
      </c>
      <c r="B11" s="585">
        <v>26</v>
      </c>
      <c r="C11" s="569">
        <f t="shared" si="0"/>
        <v>1631</v>
      </c>
      <c r="D11" s="569">
        <v>5</v>
      </c>
      <c r="E11" s="569">
        <v>514</v>
      </c>
      <c r="F11" s="569">
        <v>989</v>
      </c>
      <c r="G11" s="569">
        <v>3</v>
      </c>
      <c r="H11" s="569">
        <v>3</v>
      </c>
      <c r="I11" s="283" t="s">
        <v>57</v>
      </c>
      <c r="J11" s="569">
        <f t="shared" si="1"/>
        <v>31</v>
      </c>
      <c r="K11" s="569">
        <v>7</v>
      </c>
      <c r="L11" s="569">
        <v>0</v>
      </c>
      <c r="M11" s="569">
        <v>10</v>
      </c>
      <c r="N11" s="569">
        <v>0</v>
      </c>
      <c r="O11" s="569">
        <v>12</v>
      </c>
      <c r="P11" s="569">
        <v>2</v>
      </c>
      <c r="Q11" s="569">
        <v>5</v>
      </c>
      <c r="R11" s="569">
        <v>81</v>
      </c>
    </row>
    <row r="12" spans="1:20" ht="56.25" customHeight="1">
      <c r="A12" s="450" t="s">
        <v>567</v>
      </c>
      <c r="B12" s="585">
        <v>100</v>
      </c>
      <c r="C12" s="569">
        <f t="shared" si="0"/>
        <v>3231</v>
      </c>
      <c r="D12" s="569">
        <v>7</v>
      </c>
      <c r="E12" s="569">
        <v>1953</v>
      </c>
      <c r="F12" s="569">
        <v>473</v>
      </c>
      <c r="G12" s="569">
        <v>326</v>
      </c>
      <c r="H12" s="569">
        <v>105</v>
      </c>
      <c r="I12" s="283" t="s">
        <v>57</v>
      </c>
      <c r="J12" s="569">
        <f t="shared" si="1"/>
        <v>62</v>
      </c>
      <c r="K12" s="569">
        <v>8</v>
      </c>
      <c r="L12" s="569">
        <v>0</v>
      </c>
      <c r="M12" s="569">
        <v>14</v>
      </c>
      <c r="N12" s="569">
        <v>1</v>
      </c>
      <c r="O12" s="569">
        <v>35</v>
      </c>
      <c r="P12" s="569">
        <v>4</v>
      </c>
      <c r="Q12" s="569">
        <v>15</v>
      </c>
      <c r="R12" s="569">
        <v>290</v>
      </c>
    </row>
    <row r="13" spans="1:20" ht="56.25" customHeight="1">
      <c r="A13" s="450" t="s">
        <v>568</v>
      </c>
      <c r="B13" s="585">
        <v>97</v>
      </c>
      <c r="C13" s="569">
        <f t="shared" si="0"/>
        <v>3660</v>
      </c>
      <c r="D13" s="569" t="s">
        <v>57</v>
      </c>
      <c r="E13" s="569">
        <v>2515</v>
      </c>
      <c r="F13" s="569">
        <v>450</v>
      </c>
      <c r="G13" s="569">
        <v>217</v>
      </c>
      <c r="H13" s="569">
        <v>76</v>
      </c>
      <c r="I13" s="283" t="s">
        <v>57</v>
      </c>
      <c r="J13" s="569">
        <f t="shared" si="1"/>
        <v>36</v>
      </c>
      <c r="K13" s="569">
        <v>2</v>
      </c>
      <c r="L13" s="569">
        <v>0</v>
      </c>
      <c r="M13" s="569">
        <v>5</v>
      </c>
      <c r="N13" s="569">
        <v>0</v>
      </c>
      <c r="O13" s="569">
        <v>29</v>
      </c>
      <c r="P13" s="569">
        <v>0</v>
      </c>
      <c r="Q13" s="569">
        <v>9</v>
      </c>
      <c r="R13" s="569">
        <v>357</v>
      </c>
    </row>
    <row r="14" spans="1:20" s="11" customFormat="1" ht="56.25" customHeight="1">
      <c r="A14" s="450" t="s">
        <v>569</v>
      </c>
      <c r="B14" s="584">
        <v>142</v>
      </c>
      <c r="C14" s="569">
        <f t="shared" si="0"/>
        <v>4647</v>
      </c>
      <c r="D14" s="78">
        <v>3</v>
      </c>
      <c r="E14" s="78">
        <v>3243</v>
      </c>
      <c r="F14" s="78">
        <v>450</v>
      </c>
      <c r="G14" s="78">
        <v>129</v>
      </c>
      <c r="H14" s="78">
        <v>88</v>
      </c>
      <c r="I14" s="78">
        <v>6</v>
      </c>
      <c r="J14" s="569">
        <f t="shared" si="1"/>
        <v>73</v>
      </c>
      <c r="K14" s="78">
        <v>14</v>
      </c>
      <c r="L14" s="78">
        <v>0</v>
      </c>
      <c r="M14" s="78">
        <v>15</v>
      </c>
      <c r="N14" s="78">
        <v>2</v>
      </c>
      <c r="O14" s="78">
        <v>37</v>
      </c>
      <c r="P14" s="78">
        <v>5</v>
      </c>
      <c r="Q14" s="78">
        <v>17</v>
      </c>
      <c r="R14" s="78">
        <v>638</v>
      </c>
    </row>
    <row r="15" spans="1:20" ht="56.25" customHeight="1">
      <c r="A15" s="450" t="s">
        <v>505</v>
      </c>
      <c r="B15" s="585">
        <v>260</v>
      </c>
      <c r="C15" s="569">
        <f t="shared" si="0"/>
        <v>5644</v>
      </c>
      <c r="D15" s="569">
        <v>1</v>
      </c>
      <c r="E15" s="283">
        <v>3719</v>
      </c>
      <c r="F15" s="283">
        <v>652</v>
      </c>
      <c r="G15" s="283">
        <v>105</v>
      </c>
      <c r="H15" s="283">
        <v>77</v>
      </c>
      <c r="I15" s="283">
        <v>11</v>
      </c>
      <c r="J15" s="569">
        <f>SUM(K15:P15)</f>
        <v>122</v>
      </c>
      <c r="K15" s="569">
        <v>3</v>
      </c>
      <c r="L15" s="569">
        <v>0</v>
      </c>
      <c r="M15" s="569">
        <v>22</v>
      </c>
      <c r="N15" s="569">
        <v>2</v>
      </c>
      <c r="O15" s="569">
        <v>87</v>
      </c>
      <c r="P15" s="569">
        <v>8</v>
      </c>
      <c r="Q15" s="569">
        <v>18</v>
      </c>
      <c r="R15" s="569">
        <v>939</v>
      </c>
    </row>
    <row r="16" spans="1:20" s="11" customFormat="1" ht="56.25" customHeight="1">
      <c r="A16" s="450" t="s">
        <v>798</v>
      </c>
      <c r="B16" s="585">
        <v>314</v>
      </c>
      <c r="C16" s="569">
        <f>SUM(D16:J16,Q16,R16)</f>
        <v>5170</v>
      </c>
      <c r="D16" s="569">
        <v>2</v>
      </c>
      <c r="E16" s="283">
        <v>3056</v>
      </c>
      <c r="F16" s="283">
        <v>608</v>
      </c>
      <c r="G16" s="283">
        <v>264</v>
      </c>
      <c r="H16" s="283">
        <v>137</v>
      </c>
      <c r="I16" s="283">
        <v>8</v>
      </c>
      <c r="J16" s="569">
        <f>SUM(K16:P16)</f>
        <v>185</v>
      </c>
      <c r="K16" s="569">
        <v>19</v>
      </c>
      <c r="L16" s="569">
        <v>0</v>
      </c>
      <c r="M16" s="569">
        <v>21</v>
      </c>
      <c r="N16" s="569">
        <v>0</v>
      </c>
      <c r="O16" s="569">
        <v>132</v>
      </c>
      <c r="P16" s="569">
        <v>13</v>
      </c>
      <c r="Q16" s="569">
        <v>12</v>
      </c>
      <c r="R16" s="569">
        <v>898</v>
      </c>
      <c r="S16" s="56">
        <f>SUM(D16:I16)+J16+R16+Q16</f>
        <v>5170</v>
      </c>
      <c r="T16" s="56">
        <f>SUM(K16:P16)</f>
        <v>185</v>
      </c>
    </row>
    <row r="17" spans="1:18" s="11" customFormat="1" ht="56.25" customHeight="1">
      <c r="A17" s="444" t="s">
        <v>1045</v>
      </c>
      <c r="B17" s="585">
        <v>318</v>
      </c>
      <c r="C17" s="569">
        <f>SUM(D17:J17,Q17,R17)</f>
        <v>6215</v>
      </c>
      <c r="D17" s="569">
        <v>1</v>
      </c>
      <c r="E17" s="283">
        <v>3675</v>
      </c>
      <c r="F17" s="283">
        <v>609</v>
      </c>
      <c r="G17" s="283">
        <v>439</v>
      </c>
      <c r="H17" s="283">
        <v>154</v>
      </c>
      <c r="I17" s="283">
        <v>8</v>
      </c>
      <c r="J17" s="569">
        <f>SUM(K17:P17)</f>
        <v>251</v>
      </c>
      <c r="K17" s="569">
        <v>60</v>
      </c>
      <c r="L17" s="569">
        <v>0</v>
      </c>
      <c r="M17" s="569">
        <v>10</v>
      </c>
      <c r="N17" s="569">
        <v>10</v>
      </c>
      <c r="O17" s="569">
        <v>164</v>
      </c>
      <c r="P17" s="569">
        <v>7</v>
      </c>
      <c r="Q17" s="569">
        <v>22</v>
      </c>
      <c r="R17" s="569">
        <v>1056</v>
      </c>
    </row>
    <row r="18" spans="1:18" s="327" customFormat="1" ht="56.25" customHeight="1" thickBot="1">
      <c r="A18" s="445" t="s">
        <v>1242</v>
      </c>
      <c r="B18" s="339">
        <f>92+87+80+70</f>
        <v>329</v>
      </c>
      <c r="C18" s="341">
        <f>SUM(D18:J18,Q18,R18)</f>
        <v>5829</v>
      </c>
      <c r="D18" s="341">
        <f>1+1+1+3</f>
        <v>6</v>
      </c>
      <c r="E18" s="420">
        <f>950+930+834+945</f>
        <v>3659</v>
      </c>
      <c r="F18" s="420">
        <f>209+209+210+0</f>
        <v>628</v>
      </c>
      <c r="G18" s="420">
        <f>98+93+87+66</f>
        <v>344</v>
      </c>
      <c r="H18" s="420">
        <f>17+17+29+13</f>
        <v>76</v>
      </c>
      <c r="I18" s="420">
        <f>3+2+0+3</f>
        <v>8</v>
      </c>
      <c r="J18" s="341">
        <f>SUM(K18:P18)</f>
        <v>299</v>
      </c>
      <c r="K18" s="341">
        <f>18+18+17+12</f>
        <v>65</v>
      </c>
      <c r="L18" s="341">
        <v>0</v>
      </c>
      <c r="M18" s="341">
        <f>6+9+11+17</f>
        <v>43</v>
      </c>
      <c r="N18" s="341">
        <v>0</v>
      </c>
      <c r="O18" s="341">
        <f>47+38+45+52</f>
        <v>182</v>
      </c>
      <c r="P18" s="341">
        <f>5+2+1+1</f>
        <v>9</v>
      </c>
      <c r="Q18" s="341">
        <f>3+5+9+5</f>
        <v>22</v>
      </c>
      <c r="R18" s="341">
        <f>165+175+216+231</f>
        <v>787</v>
      </c>
    </row>
    <row r="19" spans="1:18" s="452" customFormat="1" ht="15" customHeight="1">
      <c r="A19" s="97" t="s">
        <v>937</v>
      </c>
      <c r="B19" s="475"/>
      <c r="C19" s="475"/>
      <c r="D19" s="475"/>
      <c r="G19" s="475"/>
      <c r="H19" s="475"/>
      <c r="I19" s="475"/>
      <c r="J19" s="429" t="s">
        <v>800</v>
      </c>
      <c r="K19" s="475"/>
      <c r="L19" s="475"/>
      <c r="M19" s="475"/>
      <c r="N19" s="475"/>
      <c r="O19" s="475"/>
      <c r="P19" s="475"/>
    </row>
    <row r="20" spans="1:18" s="452" customFormat="1"/>
    <row r="21" spans="1:18" s="452" customFormat="1"/>
    <row r="22" spans="1:18" s="452" customFormat="1"/>
    <row r="23" spans="1:18" s="452" customFormat="1"/>
    <row r="24" spans="1:18" s="452" customFormat="1"/>
    <row r="25" spans="1:18" s="452" customFormat="1"/>
    <row r="26" spans="1:18" s="452" customFormat="1"/>
    <row r="27" spans="1:18" s="452" customFormat="1"/>
    <row r="28" spans="1:18" s="452" customFormat="1"/>
    <row r="29" spans="1:18" s="452" customFormat="1"/>
    <row r="30" spans="1:18" s="452" customFormat="1"/>
    <row r="31" spans="1:18" s="452" customFormat="1"/>
    <row r="32" spans="1:18" s="452" customFormat="1"/>
    <row r="33" s="452" customFormat="1"/>
    <row r="34" s="452" customFormat="1"/>
    <row r="35" s="452" customFormat="1"/>
    <row r="36" s="452" customFormat="1"/>
    <row r="37" s="452" customFormat="1"/>
    <row r="38" s="452" customFormat="1"/>
    <row r="39" s="452" customFormat="1"/>
    <row r="40" s="452" customFormat="1"/>
    <row r="41" s="452" customFormat="1"/>
    <row r="42" s="452" customFormat="1"/>
  </sheetData>
  <mergeCells count="34">
    <mergeCell ref="Q1:R1"/>
    <mergeCell ref="J2:R2"/>
    <mergeCell ref="A2:I2"/>
    <mergeCell ref="G7:G8"/>
    <mergeCell ref="H7:H8"/>
    <mergeCell ref="I7:I8"/>
    <mergeCell ref="M6:M7"/>
    <mergeCell ref="N6:N7"/>
    <mergeCell ref="I5:I6"/>
    <mergeCell ref="J5:P5"/>
    <mergeCell ref="B6:B8"/>
    <mergeCell ref="J6:J7"/>
    <mergeCell ref="A4:A7"/>
    <mergeCell ref="B4:B5"/>
    <mergeCell ref="C4:I4"/>
    <mergeCell ref="J4:R4"/>
    <mergeCell ref="C5:C6"/>
    <mergeCell ref="D5:D6"/>
    <mergeCell ref="E5:E6"/>
    <mergeCell ref="O6:O7"/>
    <mergeCell ref="P6:P7"/>
    <mergeCell ref="C7:C8"/>
    <mergeCell ref="F5:F6"/>
    <mergeCell ref="G5:G6"/>
    <mergeCell ref="H5:H6"/>
    <mergeCell ref="R5:R6"/>
    <mergeCell ref="Q5:Q6"/>
    <mergeCell ref="Q7:Q8"/>
    <mergeCell ref="R7:R8"/>
    <mergeCell ref="D7:D8"/>
    <mergeCell ref="E7:E8"/>
    <mergeCell ref="F7:F8"/>
    <mergeCell ref="K6:K7"/>
    <mergeCell ref="L6:L7"/>
  </mergeCells>
  <phoneticPr fontId="6" type="noConversion"/>
  <printOptions horizontalCentered="1"/>
  <pageMargins left="0.6692913385826772" right="0.6692913385826772" top="0.6692913385826772" bottom="0.6692913385826772" header="0.27559055118110237" footer="0.27559055118110237"/>
  <pageSetup paperSize="9" firstPageNumber="352" orientation="portrait" useFirstPageNumber="1" r:id="rId1"/>
  <headerFooter alignWithMargins="0"/>
  <colBreaks count="1" manualBreakCount="1">
    <brk id="9" max="1048575" man="1"/>
  </col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工作表22"/>
  <dimension ref="A1:AA52"/>
  <sheetViews>
    <sheetView showGridLines="0" view="pageBreakPreview" zoomScale="90" zoomScaleNormal="120" zoomScaleSheetLayoutView="90" workbookViewId="0">
      <pane xSplit="1" ySplit="13" topLeftCell="B20" activePane="bottomRight" state="frozen"/>
      <selection pane="topRight"/>
      <selection pane="bottomLeft"/>
      <selection pane="bottomRight" activeCell="V20" sqref="V20"/>
    </sheetView>
  </sheetViews>
  <sheetFormatPr defaultRowHeight="12.75"/>
  <cols>
    <col min="1" max="1" width="9.625" style="452" customWidth="1"/>
    <col min="2" max="2" width="6.875" style="8" customWidth="1"/>
    <col min="3" max="5" width="6.5" style="8" customWidth="1"/>
    <col min="6" max="6" width="6.875" style="8" customWidth="1"/>
    <col min="7" max="9" width="6.125" style="8" customWidth="1"/>
    <col min="10" max="10" width="6.875" style="8" customWidth="1"/>
    <col min="11" max="13" width="6.5" style="8" customWidth="1"/>
    <col min="14" max="14" width="7.375" style="8" customWidth="1"/>
    <col min="15" max="17" width="7.125" style="8" customWidth="1"/>
    <col min="18" max="18" width="7.375" style="8" customWidth="1"/>
    <col min="19" max="21" width="7.125" style="8" customWidth="1"/>
    <col min="22" max="22" width="7.375" style="8" customWidth="1"/>
    <col min="23" max="25" width="7.125" style="8" customWidth="1"/>
    <col min="26" max="26" width="9" style="8"/>
    <col min="27" max="27" width="0" style="8" hidden="1" customWidth="1"/>
    <col min="28" max="16384" width="9" style="8"/>
  </cols>
  <sheetData>
    <row r="1" spans="1:27" s="452" customFormat="1" ht="18" customHeight="1">
      <c r="A1" s="121" t="s">
        <v>934</v>
      </c>
      <c r="X1" s="768" t="s">
        <v>0</v>
      </c>
      <c r="Y1" s="768"/>
    </row>
    <row r="2" spans="1:27" s="452" customFormat="1" ht="24.95" customHeight="1">
      <c r="A2" s="767" t="s">
        <v>976</v>
      </c>
      <c r="B2" s="767"/>
      <c r="C2" s="767"/>
      <c r="D2" s="767"/>
      <c r="E2" s="767"/>
      <c r="F2" s="767"/>
      <c r="G2" s="767"/>
      <c r="H2" s="767"/>
      <c r="I2" s="767"/>
      <c r="J2" s="767"/>
      <c r="K2" s="767"/>
      <c r="L2" s="767"/>
      <c r="M2" s="767"/>
      <c r="N2" s="767" t="s">
        <v>304</v>
      </c>
      <c r="O2" s="767"/>
      <c r="P2" s="767"/>
      <c r="Q2" s="767"/>
      <c r="R2" s="767"/>
      <c r="S2" s="767"/>
      <c r="T2" s="767"/>
      <c r="U2" s="767"/>
      <c r="V2" s="767"/>
      <c r="W2" s="767"/>
      <c r="X2" s="767"/>
      <c r="Y2" s="767"/>
    </row>
    <row r="3" spans="1:27" s="452" customFormat="1" ht="15" customHeight="1" thickBot="1">
      <c r="A3" s="467"/>
      <c r="B3" s="467"/>
      <c r="C3" s="467"/>
      <c r="D3" s="467"/>
      <c r="E3" s="467"/>
      <c r="G3" s="467"/>
      <c r="H3" s="475"/>
      <c r="I3" s="467"/>
      <c r="J3" s="467"/>
      <c r="K3" s="467"/>
      <c r="L3" s="467"/>
      <c r="M3" s="475" t="s">
        <v>977</v>
      </c>
      <c r="N3" s="467"/>
      <c r="O3" s="467"/>
      <c r="Y3" s="459" t="s">
        <v>305</v>
      </c>
    </row>
    <row r="4" spans="1:27" s="96" customFormat="1" ht="15.95" customHeight="1">
      <c r="A4" s="718" t="s">
        <v>453</v>
      </c>
      <c r="B4" s="720" t="s">
        <v>570</v>
      </c>
      <c r="C4" s="721"/>
      <c r="D4" s="721"/>
      <c r="E4" s="721"/>
      <c r="F4" s="721"/>
      <c r="G4" s="721"/>
      <c r="H4" s="721"/>
      <c r="I4" s="721"/>
      <c r="J4" s="721"/>
      <c r="K4" s="721"/>
      <c r="L4" s="721"/>
      <c r="M4" s="721"/>
      <c r="N4" s="721"/>
      <c r="O4" s="721"/>
      <c r="P4" s="721"/>
      <c r="Q4" s="722"/>
      <c r="R4" s="735" t="s">
        <v>978</v>
      </c>
      <c r="S4" s="721"/>
      <c r="T4" s="721"/>
      <c r="U4" s="721"/>
      <c r="V4" s="709" t="s">
        <v>1298</v>
      </c>
      <c r="W4" s="706"/>
      <c r="X4" s="706"/>
      <c r="Y4" s="753"/>
      <c r="Z4" s="457"/>
    </row>
    <row r="5" spans="1:27" s="96" customFormat="1" ht="15.95" customHeight="1">
      <c r="A5" s="719"/>
      <c r="B5" s="765" t="s">
        <v>306</v>
      </c>
      <c r="C5" s="730"/>
      <c r="D5" s="730"/>
      <c r="E5" s="730"/>
      <c r="F5" s="730"/>
      <c r="G5" s="730"/>
      <c r="H5" s="730"/>
      <c r="I5" s="730"/>
      <c r="J5" s="730"/>
      <c r="K5" s="730"/>
      <c r="L5" s="730"/>
      <c r="M5" s="730"/>
      <c r="N5" s="730"/>
      <c r="O5" s="730"/>
      <c r="P5" s="730"/>
      <c r="Q5" s="731"/>
      <c r="R5" s="736"/>
      <c r="S5" s="741"/>
      <c r="T5" s="741"/>
      <c r="U5" s="741"/>
      <c r="V5" s="665"/>
      <c r="W5" s="708"/>
      <c r="X5" s="708"/>
      <c r="Y5" s="662"/>
      <c r="Z5" s="457"/>
    </row>
    <row r="6" spans="1:27" s="96" customFormat="1" ht="15.95" customHeight="1">
      <c r="A6" s="719"/>
      <c r="B6" s="737" t="s">
        <v>571</v>
      </c>
      <c r="C6" s="738"/>
      <c r="D6" s="738"/>
      <c r="E6" s="738"/>
      <c r="F6" s="738"/>
      <c r="G6" s="738"/>
      <c r="H6" s="738"/>
      <c r="I6" s="738"/>
      <c r="J6" s="738"/>
      <c r="K6" s="738"/>
      <c r="L6" s="738"/>
      <c r="M6" s="725"/>
      <c r="N6" s="738" t="s">
        <v>572</v>
      </c>
      <c r="O6" s="738"/>
      <c r="P6" s="738"/>
      <c r="Q6" s="725"/>
      <c r="R6" s="736"/>
      <c r="S6" s="741"/>
      <c r="T6" s="741"/>
      <c r="U6" s="741"/>
      <c r="V6" s="665"/>
      <c r="W6" s="708"/>
      <c r="X6" s="708"/>
      <c r="Y6" s="662"/>
      <c r="Z6" s="457"/>
      <c r="AA6" s="250" t="s">
        <v>1136</v>
      </c>
    </row>
    <row r="7" spans="1:27" s="96" customFormat="1" ht="15.95" customHeight="1">
      <c r="A7" s="719"/>
      <c r="B7" s="765" t="s">
        <v>307</v>
      </c>
      <c r="C7" s="730"/>
      <c r="D7" s="730"/>
      <c r="E7" s="730"/>
      <c r="F7" s="730"/>
      <c r="G7" s="730"/>
      <c r="H7" s="730"/>
      <c r="I7" s="730"/>
      <c r="J7" s="730"/>
      <c r="K7" s="730"/>
      <c r="L7" s="730"/>
      <c r="M7" s="731"/>
      <c r="N7" s="741"/>
      <c r="O7" s="741"/>
      <c r="P7" s="741"/>
      <c r="Q7" s="742"/>
      <c r="R7" s="736" t="s">
        <v>308</v>
      </c>
      <c r="S7" s="741"/>
      <c r="T7" s="741"/>
      <c r="U7" s="741"/>
      <c r="V7" s="665" t="s">
        <v>1267</v>
      </c>
      <c r="W7" s="708"/>
      <c r="X7" s="708"/>
      <c r="Y7" s="662"/>
      <c r="Z7" s="457"/>
    </row>
    <row r="8" spans="1:27" s="96" customFormat="1" ht="15.95" customHeight="1">
      <c r="A8" s="719"/>
      <c r="B8" s="844" t="s">
        <v>573</v>
      </c>
      <c r="C8" s="723"/>
      <c r="D8" s="723"/>
      <c r="E8" s="723"/>
      <c r="F8" s="723" t="s">
        <v>574</v>
      </c>
      <c r="G8" s="723"/>
      <c r="H8" s="723"/>
      <c r="I8" s="723"/>
      <c r="J8" s="723" t="s">
        <v>575</v>
      </c>
      <c r="K8" s="723"/>
      <c r="L8" s="723"/>
      <c r="M8" s="723"/>
      <c r="N8" s="742" t="s">
        <v>309</v>
      </c>
      <c r="O8" s="756"/>
      <c r="P8" s="756"/>
      <c r="Q8" s="756"/>
      <c r="R8" s="736"/>
      <c r="S8" s="741"/>
      <c r="T8" s="741"/>
      <c r="U8" s="741"/>
      <c r="V8" s="665"/>
      <c r="W8" s="708"/>
      <c r="X8" s="708"/>
      <c r="Y8" s="662"/>
      <c r="Z8" s="457"/>
    </row>
    <row r="9" spans="1:27" s="96" customFormat="1" ht="15.95" customHeight="1">
      <c r="A9" s="719" t="s">
        <v>276</v>
      </c>
      <c r="B9" s="842" t="s">
        <v>310</v>
      </c>
      <c r="C9" s="784"/>
      <c r="D9" s="784"/>
      <c r="E9" s="784"/>
      <c r="F9" s="784" t="s">
        <v>311</v>
      </c>
      <c r="G9" s="784"/>
      <c r="H9" s="784"/>
      <c r="I9" s="784"/>
      <c r="J9" s="843" t="s">
        <v>312</v>
      </c>
      <c r="K9" s="843"/>
      <c r="L9" s="843"/>
      <c r="M9" s="843"/>
      <c r="N9" s="742"/>
      <c r="O9" s="756"/>
      <c r="P9" s="756"/>
      <c r="Q9" s="756"/>
      <c r="R9" s="727"/>
      <c r="S9" s="730"/>
      <c r="T9" s="730"/>
      <c r="U9" s="730"/>
      <c r="V9" s="715"/>
      <c r="W9" s="711"/>
      <c r="X9" s="711"/>
      <c r="Y9" s="712"/>
      <c r="Z9" s="457"/>
    </row>
    <row r="10" spans="1:27" s="96" customFormat="1" ht="15.95" customHeight="1">
      <c r="A10" s="719"/>
      <c r="B10" s="760" t="s">
        <v>560</v>
      </c>
      <c r="C10" s="723" t="s">
        <v>576</v>
      </c>
      <c r="D10" s="723"/>
      <c r="E10" s="723"/>
      <c r="F10" s="723" t="s">
        <v>560</v>
      </c>
      <c r="G10" s="723" t="s">
        <v>576</v>
      </c>
      <c r="H10" s="723"/>
      <c r="I10" s="723"/>
      <c r="J10" s="723" t="s">
        <v>560</v>
      </c>
      <c r="K10" s="723" t="s">
        <v>576</v>
      </c>
      <c r="L10" s="723"/>
      <c r="M10" s="723"/>
      <c r="N10" s="725" t="s">
        <v>560</v>
      </c>
      <c r="O10" s="723" t="s">
        <v>576</v>
      </c>
      <c r="P10" s="723"/>
      <c r="Q10" s="723"/>
      <c r="R10" s="723" t="s">
        <v>560</v>
      </c>
      <c r="S10" s="723" t="s">
        <v>576</v>
      </c>
      <c r="T10" s="723"/>
      <c r="U10" s="723"/>
      <c r="V10" s="723" t="s">
        <v>560</v>
      </c>
      <c r="W10" s="723" t="s">
        <v>576</v>
      </c>
      <c r="X10" s="723"/>
      <c r="Y10" s="723"/>
      <c r="Z10" s="457"/>
    </row>
    <row r="11" spans="1:27" s="96" customFormat="1" ht="15.95" customHeight="1">
      <c r="A11" s="719"/>
      <c r="B11" s="760"/>
      <c r="C11" s="784" t="s">
        <v>313</v>
      </c>
      <c r="D11" s="784"/>
      <c r="E11" s="784"/>
      <c r="F11" s="756"/>
      <c r="G11" s="784" t="s">
        <v>313</v>
      </c>
      <c r="H11" s="784"/>
      <c r="I11" s="784"/>
      <c r="J11" s="756"/>
      <c r="K11" s="784" t="s">
        <v>313</v>
      </c>
      <c r="L11" s="784"/>
      <c r="M11" s="784"/>
      <c r="N11" s="742"/>
      <c r="O11" s="784" t="s">
        <v>313</v>
      </c>
      <c r="P11" s="784"/>
      <c r="Q11" s="784"/>
      <c r="R11" s="756"/>
      <c r="S11" s="784" t="s">
        <v>313</v>
      </c>
      <c r="T11" s="784"/>
      <c r="U11" s="784"/>
      <c r="V11" s="756"/>
      <c r="W11" s="784" t="s">
        <v>313</v>
      </c>
      <c r="X11" s="784"/>
      <c r="Y11" s="784"/>
      <c r="Z11" s="457"/>
    </row>
    <row r="12" spans="1:27" s="96" customFormat="1" ht="15.95" customHeight="1">
      <c r="A12" s="719"/>
      <c r="B12" s="838" t="s">
        <v>314</v>
      </c>
      <c r="C12" s="461" t="s">
        <v>440</v>
      </c>
      <c r="D12" s="461" t="s">
        <v>464</v>
      </c>
      <c r="E12" s="461" t="s">
        <v>465</v>
      </c>
      <c r="F12" s="836" t="s">
        <v>314</v>
      </c>
      <c r="G12" s="461" t="s">
        <v>440</v>
      </c>
      <c r="H12" s="461" t="s">
        <v>464</v>
      </c>
      <c r="I12" s="461" t="s">
        <v>465</v>
      </c>
      <c r="J12" s="836" t="s">
        <v>314</v>
      </c>
      <c r="K12" s="461" t="s">
        <v>440</v>
      </c>
      <c r="L12" s="461" t="s">
        <v>464</v>
      </c>
      <c r="M12" s="461" t="s">
        <v>465</v>
      </c>
      <c r="N12" s="840" t="s">
        <v>314</v>
      </c>
      <c r="O12" s="461" t="s">
        <v>440</v>
      </c>
      <c r="P12" s="461" t="s">
        <v>464</v>
      </c>
      <c r="Q12" s="461" t="s">
        <v>465</v>
      </c>
      <c r="R12" s="836" t="s">
        <v>314</v>
      </c>
      <c r="S12" s="461" t="s">
        <v>440</v>
      </c>
      <c r="T12" s="461" t="s">
        <v>464</v>
      </c>
      <c r="U12" s="461" t="s">
        <v>465</v>
      </c>
      <c r="V12" s="836" t="s">
        <v>314</v>
      </c>
      <c r="W12" s="461" t="s">
        <v>440</v>
      </c>
      <c r="X12" s="461" t="s">
        <v>464</v>
      </c>
      <c r="Y12" s="461" t="s">
        <v>465</v>
      </c>
      <c r="Z12" s="457"/>
    </row>
    <row r="13" spans="1:27" s="96" customFormat="1" ht="15.95" customHeight="1" thickBot="1">
      <c r="A13" s="726"/>
      <c r="B13" s="839"/>
      <c r="C13" s="462" t="s">
        <v>6</v>
      </c>
      <c r="D13" s="462" t="s">
        <v>192</v>
      </c>
      <c r="E13" s="462" t="s">
        <v>193</v>
      </c>
      <c r="F13" s="837"/>
      <c r="G13" s="462" t="s">
        <v>6</v>
      </c>
      <c r="H13" s="462" t="s">
        <v>192</v>
      </c>
      <c r="I13" s="462" t="s">
        <v>193</v>
      </c>
      <c r="J13" s="837"/>
      <c r="K13" s="462" t="s">
        <v>6</v>
      </c>
      <c r="L13" s="462" t="s">
        <v>192</v>
      </c>
      <c r="M13" s="462" t="s">
        <v>193</v>
      </c>
      <c r="N13" s="841"/>
      <c r="O13" s="462" t="s">
        <v>6</v>
      </c>
      <c r="P13" s="462" t="s">
        <v>192</v>
      </c>
      <c r="Q13" s="462" t="s">
        <v>193</v>
      </c>
      <c r="R13" s="837"/>
      <c r="S13" s="462" t="s">
        <v>6</v>
      </c>
      <c r="T13" s="462" t="s">
        <v>192</v>
      </c>
      <c r="U13" s="462" t="s">
        <v>193</v>
      </c>
      <c r="V13" s="837"/>
      <c r="W13" s="462" t="s">
        <v>6</v>
      </c>
      <c r="X13" s="462" t="s">
        <v>192</v>
      </c>
      <c r="Y13" s="462" t="s">
        <v>193</v>
      </c>
      <c r="Z13" s="457"/>
    </row>
    <row r="14" spans="1:27" ht="52.5" customHeight="1">
      <c r="A14" s="450" t="s">
        <v>564</v>
      </c>
      <c r="B14" s="585">
        <v>5</v>
      </c>
      <c r="C14" s="78">
        <f>SUM(D14:E14)</f>
        <v>170</v>
      </c>
      <c r="D14" s="569">
        <f>32+55</f>
        <v>87</v>
      </c>
      <c r="E14" s="569">
        <f>35+48</f>
        <v>83</v>
      </c>
      <c r="F14" s="283">
        <f>7+43</f>
        <v>50</v>
      </c>
      <c r="G14" s="78">
        <f>H14+I14</f>
        <v>1739</v>
      </c>
      <c r="H14" s="569">
        <f>73+824</f>
        <v>897</v>
      </c>
      <c r="I14" s="569">
        <f>79+763</f>
        <v>842</v>
      </c>
      <c r="J14" s="569">
        <v>0</v>
      </c>
      <c r="K14" s="569">
        <v>0</v>
      </c>
      <c r="L14" s="569">
        <v>0</v>
      </c>
      <c r="M14" s="569">
        <v>0</v>
      </c>
      <c r="N14" s="569">
        <v>0</v>
      </c>
      <c r="O14" s="569">
        <v>0</v>
      </c>
      <c r="P14" s="569">
        <v>0</v>
      </c>
      <c r="Q14" s="569">
        <v>0</v>
      </c>
      <c r="R14" s="569">
        <v>0</v>
      </c>
      <c r="S14" s="569">
        <v>0</v>
      </c>
      <c r="T14" s="569">
        <v>0</v>
      </c>
      <c r="U14" s="569">
        <v>0</v>
      </c>
      <c r="V14" s="569">
        <v>0</v>
      </c>
      <c r="W14" s="569">
        <v>0</v>
      </c>
      <c r="X14" s="569">
        <v>0</v>
      </c>
      <c r="Y14" s="569">
        <v>0</v>
      </c>
    </row>
    <row r="15" spans="1:27" ht="52.5" customHeight="1">
      <c r="A15" s="450" t="s">
        <v>565</v>
      </c>
      <c r="B15" s="585">
        <v>4</v>
      </c>
      <c r="C15" s="78">
        <v>111</v>
      </c>
      <c r="D15" s="569">
        <v>57</v>
      </c>
      <c r="E15" s="569">
        <v>54</v>
      </c>
      <c r="F15" s="283">
        <v>49</v>
      </c>
      <c r="G15" s="78">
        <f>H15+I15</f>
        <v>1824</v>
      </c>
      <c r="H15" s="569">
        <f>174+748</f>
        <v>922</v>
      </c>
      <c r="I15" s="569">
        <f>161+741</f>
        <v>902</v>
      </c>
      <c r="J15" s="569">
        <v>0</v>
      </c>
      <c r="K15" s="569">
        <v>0</v>
      </c>
      <c r="L15" s="569">
        <v>0</v>
      </c>
      <c r="M15" s="569">
        <v>0</v>
      </c>
      <c r="N15" s="569">
        <v>0</v>
      </c>
      <c r="O15" s="569">
        <v>0</v>
      </c>
      <c r="P15" s="569">
        <v>0</v>
      </c>
      <c r="Q15" s="569">
        <v>0</v>
      </c>
      <c r="R15" s="569">
        <v>0</v>
      </c>
      <c r="S15" s="569">
        <v>0</v>
      </c>
      <c r="T15" s="569">
        <v>0</v>
      </c>
      <c r="U15" s="569">
        <v>0</v>
      </c>
      <c r="V15" s="569">
        <v>0</v>
      </c>
      <c r="W15" s="569">
        <v>0</v>
      </c>
      <c r="X15" s="569">
        <v>0</v>
      </c>
      <c r="Y15" s="569">
        <v>0</v>
      </c>
    </row>
    <row r="16" spans="1:27" ht="52.5" customHeight="1">
      <c r="A16" s="450" t="s">
        <v>566</v>
      </c>
      <c r="B16" s="585">
        <v>4</v>
      </c>
      <c r="C16" s="78">
        <f t="shared" ref="C16:C22" si="0">SUM(D16:E16)</f>
        <v>97</v>
      </c>
      <c r="D16" s="569">
        <f>16+36</f>
        <v>52</v>
      </c>
      <c r="E16" s="569">
        <f>11+34</f>
        <v>45</v>
      </c>
      <c r="F16" s="569">
        <f>13+35</f>
        <v>48</v>
      </c>
      <c r="G16" s="78">
        <f>H16+I16</f>
        <v>1852</v>
      </c>
      <c r="H16" s="569">
        <f>249+721</f>
        <v>970</v>
      </c>
      <c r="I16" s="569">
        <f>238+644</f>
        <v>882</v>
      </c>
      <c r="J16" s="569">
        <v>0</v>
      </c>
      <c r="K16" s="569">
        <v>0</v>
      </c>
      <c r="L16" s="569">
        <v>0</v>
      </c>
      <c r="M16" s="569">
        <v>0</v>
      </c>
      <c r="N16" s="569">
        <v>0</v>
      </c>
      <c r="O16" s="569">
        <v>0</v>
      </c>
      <c r="P16" s="569">
        <v>0</v>
      </c>
      <c r="Q16" s="569">
        <v>0</v>
      </c>
      <c r="R16" s="569">
        <v>0</v>
      </c>
      <c r="S16" s="569">
        <v>0</v>
      </c>
      <c r="T16" s="569">
        <v>0</v>
      </c>
      <c r="U16" s="569">
        <v>0</v>
      </c>
      <c r="V16" s="569">
        <v>0</v>
      </c>
      <c r="W16" s="569">
        <v>0</v>
      </c>
      <c r="X16" s="569">
        <v>0</v>
      </c>
      <c r="Y16" s="569">
        <v>0</v>
      </c>
    </row>
    <row r="17" spans="1:25" ht="52.5" customHeight="1">
      <c r="A17" s="450" t="s">
        <v>567</v>
      </c>
      <c r="B17" s="585">
        <v>4</v>
      </c>
      <c r="C17" s="78">
        <f t="shared" si="0"/>
        <v>113</v>
      </c>
      <c r="D17" s="569">
        <f>49+15</f>
        <v>64</v>
      </c>
      <c r="E17" s="569">
        <f>37+12</f>
        <v>49</v>
      </c>
      <c r="F17" s="569">
        <v>51</v>
      </c>
      <c r="G17" s="78">
        <v>1811</v>
      </c>
      <c r="H17" s="569">
        <v>935</v>
      </c>
      <c r="I17" s="569">
        <v>876</v>
      </c>
      <c r="J17" s="569">
        <v>0</v>
      </c>
      <c r="K17" s="569">
        <v>0</v>
      </c>
      <c r="L17" s="569">
        <v>0</v>
      </c>
      <c r="M17" s="569">
        <v>0</v>
      </c>
      <c r="N17" s="569">
        <v>0</v>
      </c>
      <c r="O17" s="569">
        <v>0</v>
      </c>
      <c r="P17" s="569">
        <v>0</v>
      </c>
      <c r="Q17" s="569">
        <v>0</v>
      </c>
      <c r="R17" s="569">
        <v>0</v>
      </c>
      <c r="S17" s="569">
        <v>0</v>
      </c>
      <c r="T17" s="569">
        <v>0</v>
      </c>
      <c r="U17" s="569">
        <v>0</v>
      </c>
      <c r="V17" s="569">
        <v>0</v>
      </c>
      <c r="W17" s="569">
        <v>0</v>
      </c>
      <c r="X17" s="569">
        <v>0</v>
      </c>
      <c r="Y17" s="569">
        <v>0</v>
      </c>
    </row>
    <row r="18" spans="1:25" ht="52.5" customHeight="1">
      <c r="A18" s="450" t="s">
        <v>568</v>
      </c>
      <c r="B18" s="569">
        <v>4</v>
      </c>
      <c r="C18" s="78">
        <f t="shared" si="0"/>
        <v>126</v>
      </c>
      <c r="D18" s="569">
        <v>63</v>
      </c>
      <c r="E18" s="569">
        <v>63</v>
      </c>
      <c r="F18" s="78">
        <v>49</v>
      </c>
      <c r="G18" s="78">
        <f>H18+I18</f>
        <v>1825</v>
      </c>
      <c r="H18" s="569">
        <f>933+19</f>
        <v>952</v>
      </c>
      <c r="I18" s="569">
        <f>856+17</f>
        <v>873</v>
      </c>
      <c r="J18" s="569">
        <v>0</v>
      </c>
      <c r="K18" s="569">
        <v>0</v>
      </c>
      <c r="L18" s="569">
        <v>0</v>
      </c>
      <c r="M18" s="569">
        <v>0</v>
      </c>
      <c r="N18" s="569">
        <v>0</v>
      </c>
      <c r="O18" s="569">
        <v>0</v>
      </c>
      <c r="P18" s="569">
        <v>0</v>
      </c>
      <c r="Q18" s="569">
        <v>0</v>
      </c>
      <c r="R18" s="569">
        <v>0</v>
      </c>
      <c r="S18" s="569">
        <v>0</v>
      </c>
      <c r="T18" s="569">
        <v>0</v>
      </c>
      <c r="U18" s="569">
        <v>0</v>
      </c>
      <c r="V18" s="569">
        <v>0</v>
      </c>
      <c r="W18" s="569">
        <v>0</v>
      </c>
      <c r="X18" s="569">
        <v>0</v>
      </c>
      <c r="Y18" s="569">
        <v>0</v>
      </c>
    </row>
    <row r="19" spans="1:25" s="11" customFormat="1" ht="52.5" customHeight="1">
      <c r="A19" s="450" t="s">
        <v>569</v>
      </c>
      <c r="B19" s="78">
        <v>4</v>
      </c>
      <c r="C19" s="78">
        <f t="shared" si="0"/>
        <v>115</v>
      </c>
      <c r="D19" s="78">
        <v>53</v>
      </c>
      <c r="E19" s="78">
        <v>62</v>
      </c>
      <c r="F19" s="78">
        <v>53</v>
      </c>
      <c r="G19" s="78">
        <f>H19+I19</f>
        <v>1955</v>
      </c>
      <c r="H19" s="78">
        <v>946</v>
      </c>
      <c r="I19" s="78">
        <v>1009</v>
      </c>
      <c r="J19" s="78">
        <v>0</v>
      </c>
      <c r="K19" s="78">
        <v>0</v>
      </c>
      <c r="L19" s="78">
        <v>0</v>
      </c>
      <c r="M19" s="78">
        <v>0</v>
      </c>
      <c r="N19" s="78">
        <v>0</v>
      </c>
      <c r="O19" s="78">
        <v>0</v>
      </c>
      <c r="P19" s="78">
        <v>0</v>
      </c>
      <c r="Q19" s="78">
        <v>0</v>
      </c>
      <c r="R19" s="78">
        <v>0</v>
      </c>
      <c r="S19" s="78">
        <v>0</v>
      </c>
      <c r="T19" s="78">
        <v>0</v>
      </c>
      <c r="U19" s="78">
        <v>0</v>
      </c>
      <c r="V19" s="78">
        <v>0</v>
      </c>
      <c r="W19" s="78">
        <v>0</v>
      </c>
      <c r="X19" s="78">
        <v>0</v>
      </c>
      <c r="Y19" s="78">
        <v>0</v>
      </c>
    </row>
    <row r="20" spans="1:25" ht="52.5" customHeight="1">
      <c r="A20" s="450" t="s">
        <v>505</v>
      </c>
      <c r="B20" s="584">
        <v>4</v>
      </c>
      <c r="C20" s="78">
        <f t="shared" si="0"/>
        <v>119</v>
      </c>
      <c r="D20" s="78">
        <v>51</v>
      </c>
      <c r="E20" s="78">
        <v>68</v>
      </c>
      <c r="F20" s="78">
        <v>56</v>
      </c>
      <c r="G20" s="78">
        <v>2012</v>
      </c>
      <c r="H20" s="78">
        <v>964</v>
      </c>
      <c r="I20" s="78">
        <v>1048</v>
      </c>
      <c r="J20" s="78">
        <v>0</v>
      </c>
      <c r="K20" s="78">
        <v>0</v>
      </c>
      <c r="L20" s="78">
        <v>0</v>
      </c>
      <c r="M20" s="78">
        <v>0</v>
      </c>
      <c r="N20" s="78">
        <v>0</v>
      </c>
      <c r="O20" s="78">
        <v>0</v>
      </c>
      <c r="P20" s="78">
        <v>0</v>
      </c>
      <c r="Q20" s="78">
        <v>0</v>
      </c>
      <c r="R20" s="78">
        <v>0</v>
      </c>
      <c r="S20" s="78">
        <v>0</v>
      </c>
      <c r="T20" s="78">
        <v>0</v>
      </c>
      <c r="U20" s="78">
        <v>0</v>
      </c>
      <c r="V20" s="78">
        <v>0</v>
      </c>
      <c r="W20" s="78">
        <v>0</v>
      </c>
      <c r="X20" s="78">
        <v>0</v>
      </c>
      <c r="Y20" s="78">
        <v>0</v>
      </c>
    </row>
    <row r="21" spans="1:25" s="11" customFormat="1" ht="52.5" customHeight="1">
      <c r="A21" s="450" t="s">
        <v>798</v>
      </c>
      <c r="B21" s="585">
        <v>3</v>
      </c>
      <c r="C21" s="78">
        <f t="shared" si="0"/>
        <v>95</v>
      </c>
      <c r="D21" s="569">
        <v>45</v>
      </c>
      <c r="E21" s="283">
        <v>50</v>
      </c>
      <c r="F21" s="283">
        <v>60</v>
      </c>
      <c r="G21" s="78">
        <f>H21+I21</f>
        <v>2214</v>
      </c>
      <c r="H21" s="283">
        <v>1051</v>
      </c>
      <c r="I21" s="569">
        <v>1163</v>
      </c>
      <c r="J21" s="569">
        <v>0</v>
      </c>
      <c r="K21" s="569">
        <v>0</v>
      </c>
      <c r="L21" s="569">
        <v>0</v>
      </c>
      <c r="M21" s="569">
        <v>0</v>
      </c>
      <c r="N21" s="569">
        <v>0</v>
      </c>
      <c r="O21" s="569">
        <v>0</v>
      </c>
      <c r="P21" s="569">
        <v>0</v>
      </c>
      <c r="Q21" s="569">
        <v>0</v>
      </c>
      <c r="R21" s="569">
        <v>0</v>
      </c>
      <c r="S21" s="569">
        <v>0</v>
      </c>
      <c r="T21" s="569">
        <v>0</v>
      </c>
      <c r="U21" s="569">
        <v>0</v>
      </c>
      <c r="V21" s="569">
        <v>0</v>
      </c>
      <c r="W21" s="569">
        <v>0</v>
      </c>
      <c r="X21" s="569">
        <v>0</v>
      </c>
      <c r="Y21" s="569">
        <v>0</v>
      </c>
    </row>
    <row r="22" spans="1:25" s="11" customFormat="1" ht="52.5" customHeight="1">
      <c r="A22" s="444" t="s">
        <v>1045</v>
      </c>
      <c r="B22" s="569">
        <v>3</v>
      </c>
      <c r="C22" s="78">
        <f t="shared" si="0"/>
        <v>100</v>
      </c>
      <c r="D22" s="569">
        <v>46</v>
      </c>
      <c r="E22" s="283">
        <v>54</v>
      </c>
      <c r="F22" s="283">
        <v>63</v>
      </c>
      <c r="G22" s="78">
        <f>H22+I22</f>
        <v>2323</v>
      </c>
      <c r="H22" s="80">
        <v>1080</v>
      </c>
      <c r="I22" s="569">
        <v>1243</v>
      </c>
      <c r="J22" s="569">
        <v>0</v>
      </c>
      <c r="K22" s="569">
        <v>0</v>
      </c>
      <c r="L22" s="569">
        <v>0</v>
      </c>
      <c r="M22" s="569">
        <v>0</v>
      </c>
      <c r="N22" s="569">
        <v>0</v>
      </c>
      <c r="O22" s="569">
        <v>0</v>
      </c>
      <c r="P22" s="569">
        <v>0</v>
      </c>
      <c r="Q22" s="569">
        <v>0</v>
      </c>
      <c r="R22" s="569">
        <v>0</v>
      </c>
      <c r="S22" s="569">
        <v>0</v>
      </c>
      <c r="T22" s="569">
        <v>0</v>
      </c>
      <c r="U22" s="569">
        <v>0</v>
      </c>
      <c r="V22" s="569">
        <v>0</v>
      </c>
      <c r="W22" s="569">
        <v>0</v>
      </c>
      <c r="X22" s="569">
        <v>0</v>
      </c>
      <c r="Y22" s="569">
        <v>0</v>
      </c>
    </row>
    <row r="23" spans="1:25" s="328" customFormat="1" ht="52.5" customHeight="1" thickBot="1">
      <c r="A23" s="445" t="s">
        <v>1242</v>
      </c>
      <c r="B23" s="339">
        <v>3</v>
      </c>
      <c r="C23" s="341">
        <v>104</v>
      </c>
      <c r="D23" s="341">
        <v>41</v>
      </c>
      <c r="E23" s="420">
        <v>63</v>
      </c>
      <c r="F23" s="420">
        <v>63</v>
      </c>
      <c r="G23" s="341">
        <f>H23+I23</f>
        <v>2387</v>
      </c>
      <c r="H23" s="420">
        <f>43+1029+2</f>
        <v>1074</v>
      </c>
      <c r="I23" s="341">
        <f>51+1260+2</f>
        <v>1313</v>
      </c>
      <c r="J23" s="341">
        <v>0</v>
      </c>
      <c r="K23" s="341">
        <v>0</v>
      </c>
      <c r="L23" s="341">
        <v>0</v>
      </c>
      <c r="M23" s="341">
        <v>0</v>
      </c>
      <c r="N23" s="341">
        <v>0</v>
      </c>
      <c r="O23" s="341">
        <v>0</v>
      </c>
      <c r="P23" s="341">
        <v>0</v>
      </c>
      <c r="Q23" s="341">
        <v>0</v>
      </c>
      <c r="R23" s="341">
        <v>0</v>
      </c>
      <c r="S23" s="341">
        <v>0</v>
      </c>
      <c r="T23" s="341">
        <v>0</v>
      </c>
      <c r="U23" s="341">
        <v>0</v>
      </c>
      <c r="V23" s="341">
        <v>1</v>
      </c>
      <c r="W23" s="341">
        <f>SUM(X23:Y23)</f>
        <v>728</v>
      </c>
      <c r="X23" s="341">
        <v>258</v>
      </c>
      <c r="Y23" s="341">
        <v>470</v>
      </c>
    </row>
    <row r="24" spans="1:25" s="452" customFormat="1" ht="15" customHeight="1">
      <c r="A24" s="97" t="s">
        <v>937</v>
      </c>
      <c r="B24" s="475"/>
      <c r="C24" s="475"/>
      <c r="D24" s="475"/>
      <c r="G24" s="475"/>
      <c r="H24" s="475"/>
      <c r="J24" s="475"/>
      <c r="K24" s="475"/>
      <c r="L24" s="475"/>
      <c r="M24" s="475"/>
      <c r="N24" s="429" t="s">
        <v>801</v>
      </c>
      <c r="O24" s="475"/>
    </row>
    <row r="25" spans="1:25" s="452" customFormat="1" ht="15" customHeight="1">
      <c r="A25" s="102" t="s">
        <v>1299</v>
      </c>
      <c r="B25" s="448"/>
      <c r="C25" s="448"/>
      <c r="D25" s="448"/>
      <c r="E25" s="448"/>
      <c r="F25" s="448"/>
      <c r="G25" s="448"/>
      <c r="H25" s="448"/>
      <c r="I25" s="448"/>
      <c r="J25" s="448"/>
      <c r="N25" s="100" t="s">
        <v>1286</v>
      </c>
    </row>
    <row r="26" spans="1:25" s="452" customFormat="1" ht="15" customHeight="1">
      <c r="N26" s="100"/>
    </row>
    <row r="27" spans="1:25" s="452" customFormat="1"/>
    <row r="28" spans="1:25" s="452" customFormat="1"/>
    <row r="29" spans="1:25" s="452" customFormat="1"/>
    <row r="30" spans="1:25" s="452" customFormat="1"/>
    <row r="31" spans="1:25" s="452" customFormat="1"/>
    <row r="32" spans="1:25" s="452" customFormat="1"/>
    <row r="33" s="452" customFormat="1"/>
    <row r="34" s="452" customFormat="1"/>
    <row r="35" s="452" customFormat="1"/>
    <row r="36" s="452" customFormat="1"/>
    <row r="37" s="452" customFormat="1"/>
    <row r="38" s="452" customFormat="1"/>
    <row r="39" s="452" customFormat="1"/>
    <row r="40" s="452" customFormat="1"/>
    <row r="41" s="452" customFormat="1"/>
    <row r="42" s="452" customFormat="1"/>
    <row r="43" s="452" customFormat="1"/>
    <row r="44" s="452" customFormat="1"/>
    <row r="45" s="452" customFormat="1"/>
    <row r="46" s="452" customFormat="1"/>
    <row r="47" s="452" customFormat="1"/>
    <row r="48" s="452" customFormat="1"/>
    <row r="49" s="452" customFormat="1"/>
    <row r="50" s="452" customFormat="1"/>
    <row r="51" s="452" customFormat="1"/>
    <row r="52" s="452" customFormat="1"/>
  </sheetData>
  <mergeCells count="45">
    <mergeCell ref="X1:Y1"/>
    <mergeCell ref="A2:M2"/>
    <mergeCell ref="N2:Y2"/>
    <mergeCell ref="A4:A8"/>
    <mergeCell ref="B4:Q4"/>
    <mergeCell ref="R4:U6"/>
    <mergeCell ref="V4:Y6"/>
    <mergeCell ref="B5:Q5"/>
    <mergeCell ref="B7:M7"/>
    <mergeCell ref="R7:U9"/>
    <mergeCell ref="V7:Y9"/>
    <mergeCell ref="B8:E8"/>
    <mergeCell ref="F8:I8"/>
    <mergeCell ref="J8:M8"/>
    <mergeCell ref="N8:Q9"/>
    <mergeCell ref="B6:M6"/>
    <mergeCell ref="N6:Q7"/>
    <mergeCell ref="A9:A13"/>
    <mergeCell ref="B9:E9"/>
    <mergeCell ref="F9:I9"/>
    <mergeCell ref="J9:M9"/>
    <mergeCell ref="B10:B11"/>
    <mergeCell ref="C10:E10"/>
    <mergeCell ref="F10:F11"/>
    <mergeCell ref="G10:I10"/>
    <mergeCell ref="G11:I11"/>
    <mergeCell ref="W11:Y11"/>
    <mergeCell ref="N10:N11"/>
    <mergeCell ref="O10:Q10"/>
    <mergeCell ref="R10:R11"/>
    <mergeCell ref="S10:U10"/>
    <mergeCell ref="V10:V11"/>
    <mergeCell ref="W10:Y10"/>
    <mergeCell ref="V12:V13"/>
    <mergeCell ref="C11:E11"/>
    <mergeCell ref="J10:J11"/>
    <mergeCell ref="K10:M10"/>
    <mergeCell ref="B12:B13"/>
    <mergeCell ref="F12:F13"/>
    <mergeCell ref="J12:J13"/>
    <mergeCell ref="N12:N13"/>
    <mergeCell ref="R12:R13"/>
    <mergeCell ref="K11:M11"/>
    <mergeCell ref="O11:Q11"/>
    <mergeCell ref="S11:U11"/>
  </mergeCells>
  <phoneticPr fontId="6" type="noConversion"/>
  <printOptions horizontalCentered="1"/>
  <pageMargins left="0.6692913385826772" right="0.6692913385826772" top="0.6692913385826772" bottom="0.6692913385826772" header="0.27559055118110237" footer="0.27559055118110237"/>
  <pageSetup paperSize="9" firstPageNumber="352" orientation="portrait" useFirstPageNumber="1" r:id="rId1"/>
  <headerFooter alignWithMargins="0"/>
  <colBreaks count="1" manualBreakCount="1">
    <brk id="13" max="1048575" man="1"/>
  </col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工作表23"/>
  <dimension ref="A1:R27"/>
  <sheetViews>
    <sheetView showGridLines="0" view="pageBreakPreview" zoomScale="80" zoomScaleNormal="120" zoomScaleSheetLayoutView="80" workbookViewId="0">
      <pane xSplit="1" ySplit="7" topLeftCell="B11" activePane="bottomRight" state="frozen"/>
      <selection pane="topRight"/>
      <selection pane="bottomLeft"/>
      <selection pane="bottomRight" activeCell="I14" sqref="I14"/>
    </sheetView>
  </sheetViews>
  <sheetFormatPr defaultRowHeight="12.75"/>
  <cols>
    <col min="1" max="1" width="9.625" style="452" customWidth="1"/>
    <col min="2" max="2" width="8.625" style="8" customWidth="1"/>
    <col min="3" max="3" width="16.875" style="8" customWidth="1"/>
    <col min="4" max="4" width="17.25" style="8" customWidth="1"/>
    <col min="5" max="5" width="17.125" style="8" customWidth="1"/>
    <col min="6" max="6" width="17.25" style="8" customWidth="1"/>
    <col min="7" max="10" width="12.375" style="8" customWidth="1"/>
    <col min="11" max="11" width="12.375" style="31" customWidth="1"/>
    <col min="12" max="13" width="12.625" style="8" customWidth="1"/>
    <col min="14" max="16384" width="9" style="8"/>
  </cols>
  <sheetData>
    <row r="1" spans="1:18" s="452" customFormat="1" ht="18" customHeight="1">
      <c r="A1" s="121" t="s">
        <v>934</v>
      </c>
      <c r="K1" s="448"/>
      <c r="L1" s="768" t="s">
        <v>802</v>
      </c>
      <c r="M1" s="768"/>
    </row>
    <row r="2" spans="1:18" s="452" customFormat="1" ht="24.95" customHeight="1">
      <c r="A2" s="767" t="s">
        <v>972</v>
      </c>
      <c r="B2" s="767"/>
      <c r="C2" s="767"/>
      <c r="D2" s="767"/>
      <c r="E2" s="767"/>
      <c r="F2" s="767"/>
      <c r="G2" s="767" t="s">
        <v>803</v>
      </c>
      <c r="H2" s="767"/>
      <c r="I2" s="767"/>
      <c r="J2" s="767"/>
      <c r="K2" s="767"/>
      <c r="L2" s="767"/>
      <c r="M2" s="767"/>
      <c r="N2" s="140"/>
      <c r="O2" s="140"/>
      <c r="P2" s="140"/>
      <c r="Q2" s="140"/>
      <c r="R2" s="140"/>
    </row>
    <row r="3" spans="1:18" s="452" customFormat="1" ht="15" customHeight="1" thickBot="1">
      <c r="A3" s="467"/>
      <c r="F3" s="475" t="s">
        <v>973</v>
      </c>
      <c r="H3" s="459"/>
      <c r="K3" s="448"/>
      <c r="M3" s="459" t="s">
        <v>804</v>
      </c>
    </row>
    <row r="4" spans="1:18" s="96" customFormat="1" ht="21.95" customHeight="1">
      <c r="A4" s="718" t="s">
        <v>453</v>
      </c>
      <c r="B4" s="720" t="s">
        <v>805</v>
      </c>
      <c r="C4" s="721"/>
      <c r="D4" s="721"/>
      <c r="E4" s="721"/>
      <c r="F4" s="722"/>
      <c r="G4" s="722" t="s">
        <v>806</v>
      </c>
      <c r="H4" s="790"/>
      <c r="I4" s="790"/>
      <c r="J4" s="790" t="s">
        <v>807</v>
      </c>
      <c r="K4" s="790"/>
      <c r="L4" s="790" t="s">
        <v>808</v>
      </c>
      <c r="M4" s="735"/>
    </row>
    <row r="5" spans="1:18" s="96" customFormat="1" ht="21.95" customHeight="1">
      <c r="A5" s="719"/>
      <c r="B5" s="765" t="s">
        <v>809</v>
      </c>
      <c r="C5" s="730"/>
      <c r="D5" s="730"/>
      <c r="E5" s="730"/>
      <c r="F5" s="731"/>
      <c r="G5" s="731" t="s">
        <v>810</v>
      </c>
      <c r="H5" s="784"/>
      <c r="I5" s="784"/>
      <c r="J5" s="784" t="s">
        <v>811</v>
      </c>
      <c r="K5" s="784"/>
      <c r="L5" s="784" t="s">
        <v>812</v>
      </c>
      <c r="M5" s="727"/>
    </row>
    <row r="6" spans="1:18" s="96" customFormat="1" ht="44.1" customHeight="1">
      <c r="A6" s="719"/>
      <c r="B6" s="477" t="s">
        <v>440</v>
      </c>
      <c r="C6" s="453" t="s">
        <v>813</v>
      </c>
      <c r="D6" s="453" t="s">
        <v>814</v>
      </c>
      <c r="E6" s="176" t="s">
        <v>815</v>
      </c>
      <c r="F6" s="455" t="s">
        <v>816</v>
      </c>
      <c r="G6" s="455" t="s">
        <v>817</v>
      </c>
      <c r="H6" s="453" t="s">
        <v>818</v>
      </c>
      <c r="I6" s="453" t="s">
        <v>974</v>
      </c>
      <c r="J6" s="453" t="s">
        <v>975</v>
      </c>
      <c r="K6" s="432" t="s">
        <v>525</v>
      </c>
      <c r="L6" s="453" t="s">
        <v>975</v>
      </c>
      <c r="M6" s="456" t="s">
        <v>525</v>
      </c>
    </row>
    <row r="7" spans="1:18" s="96" customFormat="1" ht="64.150000000000006" customHeight="1" thickBot="1">
      <c r="A7" s="451" t="s">
        <v>819</v>
      </c>
      <c r="B7" s="463" t="s">
        <v>820</v>
      </c>
      <c r="C7" s="462" t="s">
        <v>821</v>
      </c>
      <c r="D7" s="462" t="s">
        <v>822</v>
      </c>
      <c r="E7" s="416" t="s">
        <v>823</v>
      </c>
      <c r="F7" s="464" t="s">
        <v>824</v>
      </c>
      <c r="G7" s="464" t="s">
        <v>825</v>
      </c>
      <c r="H7" s="462" t="s">
        <v>826</v>
      </c>
      <c r="I7" s="462" t="s">
        <v>827</v>
      </c>
      <c r="J7" s="462" t="s">
        <v>828</v>
      </c>
      <c r="K7" s="434" t="s">
        <v>829</v>
      </c>
      <c r="L7" s="462" t="s">
        <v>828</v>
      </c>
      <c r="M7" s="465" t="s">
        <v>829</v>
      </c>
    </row>
    <row r="8" spans="1:18" ht="54.75" customHeight="1">
      <c r="A8" s="450" t="s">
        <v>564</v>
      </c>
      <c r="B8" s="569">
        <f t="shared" ref="B8:B15" si="0">SUM(C8:F8)</f>
        <v>165</v>
      </c>
      <c r="C8" s="586">
        <v>2</v>
      </c>
      <c r="D8" s="586">
        <v>13</v>
      </c>
      <c r="E8" s="586">
        <v>113</v>
      </c>
      <c r="F8" s="586">
        <v>37</v>
      </c>
      <c r="G8" s="586">
        <v>2</v>
      </c>
      <c r="H8" s="586">
        <v>156</v>
      </c>
      <c r="I8" s="586">
        <v>4490</v>
      </c>
      <c r="J8" s="586">
        <v>911</v>
      </c>
      <c r="K8" s="337">
        <f>67377+55659</f>
        <v>123036</v>
      </c>
      <c r="L8" s="586">
        <v>234</v>
      </c>
      <c r="M8" s="586">
        <f>39094+69652</f>
        <v>108746</v>
      </c>
    </row>
    <row r="9" spans="1:18" ht="54.75" customHeight="1">
      <c r="A9" s="450" t="s">
        <v>565</v>
      </c>
      <c r="B9" s="569">
        <f t="shared" si="0"/>
        <v>182</v>
      </c>
      <c r="C9" s="586">
        <v>2</v>
      </c>
      <c r="D9" s="586">
        <v>16</v>
      </c>
      <c r="E9" s="586">
        <v>126</v>
      </c>
      <c r="F9" s="586">
        <v>38</v>
      </c>
      <c r="G9" s="586">
        <v>10</v>
      </c>
      <c r="H9" s="586">
        <v>203</v>
      </c>
      <c r="I9" s="586">
        <v>5982</v>
      </c>
      <c r="J9" s="586">
        <v>1266</v>
      </c>
      <c r="K9" s="337">
        <f>102690+67229</f>
        <v>169919</v>
      </c>
      <c r="L9" s="586">
        <v>273</v>
      </c>
      <c r="M9" s="586">
        <f>44978+49523</f>
        <v>94501</v>
      </c>
    </row>
    <row r="10" spans="1:18" ht="54.75" customHeight="1">
      <c r="A10" s="450" t="s">
        <v>566</v>
      </c>
      <c r="B10" s="569">
        <f t="shared" si="0"/>
        <v>174</v>
      </c>
      <c r="C10" s="586">
        <v>2</v>
      </c>
      <c r="D10" s="586">
        <v>14</v>
      </c>
      <c r="E10" s="586">
        <v>126</v>
      </c>
      <c r="F10" s="586">
        <v>32</v>
      </c>
      <c r="G10" s="586">
        <v>2</v>
      </c>
      <c r="H10" s="586">
        <v>176</v>
      </c>
      <c r="I10" s="586">
        <v>5508</v>
      </c>
      <c r="J10" s="586">
        <f>1537</f>
        <v>1537</v>
      </c>
      <c r="K10" s="337">
        <f>130374+112532</f>
        <v>242906</v>
      </c>
      <c r="L10" s="586">
        <v>309</v>
      </c>
      <c r="M10" s="586">
        <f>63463+14213</f>
        <v>77676</v>
      </c>
    </row>
    <row r="11" spans="1:18" ht="54.75" customHeight="1">
      <c r="A11" s="450" t="s">
        <v>567</v>
      </c>
      <c r="B11" s="569">
        <f t="shared" si="0"/>
        <v>146</v>
      </c>
      <c r="C11" s="586">
        <v>2</v>
      </c>
      <c r="D11" s="586">
        <v>14</v>
      </c>
      <c r="E11" s="586">
        <v>98</v>
      </c>
      <c r="F11" s="586">
        <v>32</v>
      </c>
      <c r="G11" s="586">
        <v>3</v>
      </c>
      <c r="H11" s="586">
        <v>127</v>
      </c>
      <c r="I11" s="586">
        <v>4450</v>
      </c>
      <c r="J11" s="586">
        <v>1750</v>
      </c>
      <c r="K11" s="337">
        <f>152792+137908</f>
        <v>290700</v>
      </c>
      <c r="L11" s="586">
        <v>314</v>
      </c>
      <c r="M11" s="586">
        <f>53235+50295</f>
        <v>103530</v>
      </c>
    </row>
    <row r="12" spans="1:18" ht="54.75" customHeight="1">
      <c r="A12" s="450" t="s">
        <v>568</v>
      </c>
      <c r="B12" s="569">
        <f t="shared" si="0"/>
        <v>141</v>
      </c>
      <c r="C12" s="569">
        <v>2</v>
      </c>
      <c r="D12" s="569">
        <v>14</v>
      </c>
      <c r="E12" s="569">
        <v>93</v>
      </c>
      <c r="F12" s="569">
        <v>32</v>
      </c>
      <c r="G12" s="569">
        <v>16</v>
      </c>
      <c r="H12" s="569">
        <v>344</v>
      </c>
      <c r="I12" s="569">
        <v>11231</v>
      </c>
      <c r="J12" s="569">
        <v>1981</v>
      </c>
      <c r="K12" s="78">
        <v>326381</v>
      </c>
      <c r="L12" s="78">
        <v>320</v>
      </c>
      <c r="M12" s="569">
        <v>106121</v>
      </c>
    </row>
    <row r="13" spans="1:18" ht="54.75" customHeight="1">
      <c r="A13" s="450" t="s">
        <v>569</v>
      </c>
      <c r="B13" s="569">
        <f t="shared" si="0"/>
        <v>124</v>
      </c>
      <c r="C13" s="78">
        <v>2</v>
      </c>
      <c r="D13" s="78">
        <v>12</v>
      </c>
      <c r="E13" s="78">
        <v>72</v>
      </c>
      <c r="F13" s="78">
        <v>38</v>
      </c>
      <c r="G13" s="78">
        <v>14</v>
      </c>
      <c r="H13" s="78" t="s">
        <v>57</v>
      </c>
      <c r="I13" s="78" t="s">
        <v>57</v>
      </c>
      <c r="J13" s="78">
        <v>2145</v>
      </c>
      <c r="K13" s="78">
        <v>365187</v>
      </c>
      <c r="L13" s="78">
        <v>335</v>
      </c>
      <c r="M13" s="78">
        <v>111398</v>
      </c>
      <c r="O13" s="85"/>
    </row>
    <row r="14" spans="1:18" ht="54.75" customHeight="1">
      <c r="A14" s="450" t="s">
        <v>505</v>
      </c>
      <c r="B14" s="585">
        <f t="shared" si="0"/>
        <v>121</v>
      </c>
      <c r="C14" s="569">
        <v>2</v>
      </c>
      <c r="D14" s="569">
        <v>12</v>
      </c>
      <c r="E14" s="569">
        <v>69</v>
      </c>
      <c r="F14" s="569">
        <v>38</v>
      </c>
      <c r="G14" s="569">
        <v>12</v>
      </c>
      <c r="H14" s="569">
        <v>278</v>
      </c>
      <c r="I14" s="569">
        <v>14492</v>
      </c>
      <c r="J14" s="569">
        <v>2307</v>
      </c>
      <c r="K14" s="569">
        <v>387513</v>
      </c>
      <c r="L14" s="569">
        <v>376</v>
      </c>
      <c r="M14" s="569">
        <v>121324</v>
      </c>
    </row>
    <row r="15" spans="1:18" s="11" customFormat="1" ht="54.75" customHeight="1">
      <c r="A15" s="450" t="s">
        <v>798</v>
      </c>
      <c r="B15" s="585">
        <f t="shared" si="0"/>
        <v>96</v>
      </c>
      <c r="C15" s="569">
        <v>2</v>
      </c>
      <c r="D15" s="569">
        <v>14</v>
      </c>
      <c r="E15" s="569">
        <v>40</v>
      </c>
      <c r="F15" s="569">
        <v>40</v>
      </c>
      <c r="G15" s="569">
        <v>17</v>
      </c>
      <c r="H15" s="569">
        <v>472</v>
      </c>
      <c r="I15" s="569">
        <v>12758</v>
      </c>
      <c r="J15" s="78">
        <v>2502</v>
      </c>
      <c r="K15" s="78">
        <v>424465</v>
      </c>
      <c r="L15" s="78">
        <v>339</v>
      </c>
      <c r="M15" s="78">
        <v>170867</v>
      </c>
    </row>
    <row r="16" spans="1:18" s="11" customFormat="1" ht="54.75" customHeight="1">
      <c r="A16" s="444" t="s">
        <v>1045</v>
      </c>
      <c r="B16" s="585">
        <f>SUM(C16:F16)</f>
        <v>95</v>
      </c>
      <c r="C16" s="569">
        <v>2</v>
      </c>
      <c r="D16" s="569">
        <v>14</v>
      </c>
      <c r="E16" s="569">
        <v>39</v>
      </c>
      <c r="F16" s="569">
        <v>40</v>
      </c>
      <c r="G16" s="569">
        <v>18</v>
      </c>
      <c r="H16" s="569">
        <v>664</v>
      </c>
      <c r="I16" s="569">
        <v>15891</v>
      </c>
      <c r="J16" s="569">
        <v>2947</v>
      </c>
      <c r="K16" s="78">
        <v>472767</v>
      </c>
      <c r="L16" s="569">
        <v>314</v>
      </c>
      <c r="M16" s="569">
        <v>115591</v>
      </c>
    </row>
    <row r="17" spans="1:13" s="11" customFormat="1" ht="54.75" customHeight="1" thickBot="1">
      <c r="A17" s="445" t="s">
        <v>1242</v>
      </c>
      <c r="B17" s="339">
        <f>SUM(C17:F17)</f>
        <v>84</v>
      </c>
      <c r="C17" s="341">
        <v>2</v>
      </c>
      <c r="D17" s="341">
        <v>15</v>
      </c>
      <c r="E17" s="341">
        <v>29</v>
      </c>
      <c r="F17" s="341">
        <v>38</v>
      </c>
      <c r="G17" s="341">
        <v>23</v>
      </c>
      <c r="H17" s="341">
        <f>312+457</f>
        <v>769</v>
      </c>
      <c r="I17" s="341">
        <f>6887+8967</f>
        <v>15854</v>
      </c>
      <c r="J17" s="341">
        <v>4203</v>
      </c>
      <c r="K17" s="341">
        <f>302902+387844</f>
        <v>690746</v>
      </c>
      <c r="L17" s="341">
        <v>432</v>
      </c>
      <c r="M17" s="341">
        <f>113744+142431</f>
        <v>256175</v>
      </c>
    </row>
    <row r="18" spans="1:13" s="452" customFormat="1" ht="15" customHeight="1">
      <c r="A18" s="100" t="s">
        <v>1087</v>
      </c>
      <c r="G18" s="100" t="s">
        <v>1088</v>
      </c>
      <c r="K18" s="448"/>
    </row>
    <row r="19" spans="1:13" s="452" customFormat="1" ht="15" customHeight="1">
      <c r="G19" s="100" t="s">
        <v>1137</v>
      </c>
      <c r="K19" s="448"/>
    </row>
    <row r="20" spans="1:13" s="452" customFormat="1" ht="15" customHeight="1">
      <c r="A20" s="97"/>
      <c r="K20" s="448"/>
    </row>
    <row r="21" spans="1:13" s="452" customFormat="1" ht="15" customHeight="1">
      <c r="E21" s="467"/>
      <c r="F21" s="467"/>
      <c r="G21" s="467"/>
      <c r="H21" s="467"/>
      <c r="I21" s="467"/>
      <c r="J21" s="467"/>
      <c r="K21" s="435"/>
      <c r="L21" s="467"/>
      <c r="M21" s="467"/>
    </row>
    <row r="22" spans="1:13" s="452" customFormat="1">
      <c r="E22" s="467"/>
      <c r="F22" s="467"/>
      <c r="G22" s="467"/>
      <c r="H22" s="467"/>
      <c r="I22" s="467"/>
      <c r="J22" s="467"/>
      <c r="K22" s="435"/>
      <c r="L22" s="467"/>
      <c r="M22" s="467"/>
    </row>
    <row r="23" spans="1:13" s="452" customFormat="1">
      <c r="K23" s="448"/>
    </row>
    <row r="24" spans="1:13" s="452" customFormat="1">
      <c r="K24" s="448"/>
    </row>
    <row r="25" spans="1:13" s="452" customFormat="1">
      <c r="K25" s="448"/>
    </row>
    <row r="26" spans="1:13" s="452" customFormat="1">
      <c r="K26" s="448"/>
    </row>
    <row r="27" spans="1:13" s="452" customFormat="1">
      <c r="K27" s="448"/>
    </row>
  </sheetData>
  <mergeCells count="12">
    <mergeCell ref="L1:M1"/>
    <mergeCell ref="A2:F2"/>
    <mergeCell ref="G2:M2"/>
    <mergeCell ref="A4:A6"/>
    <mergeCell ref="B4:F4"/>
    <mergeCell ref="G4:I4"/>
    <mergeCell ref="J4:K4"/>
    <mergeCell ref="L4:M4"/>
    <mergeCell ref="B5:F5"/>
    <mergeCell ref="G5:I5"/>
    <mergeCell ref="J5:K5"/>
    <mergeCell ref="L5:M5"/>
  </mergeCells>
  <phoneticPr fontId="6" type="noConversion"/>
  <printOptions horizontalCentered="1"/>
  <pageMargins left="0.6692913385826772" right="0.6692913385826772" top="0.6692913385826772" bottom="0.6692913385826772" header="0.27559055118110237" footer="0.27559055118110237"/>
  <pageSetup paperSize="9" firstPageNumber="352" orientation="portrait" useFirstPageNumber="1" r:id="rId1"/>
  <headerFooter alignWithMargins="0"/>
  <colBreaks count="1" manualBreakCount="1">
    <brk id="6" max="1048575" man="1"/>
  </col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工作表24"/>
  <dimension ref="A1:Z28"/>
  <sheetViews>
    <sheetView showGridLines="0" view="pageBreakPreview" zoomScale="80" zoomScaleNormal="120" zoomScaleSheetLayoutView="80" workbookViewId="0">
      <pane xSplit="1" ySplit="11" topLeftCell="B18" activePane="bottomRight" state="frozen"/>
      <selection activeCell="N24" sqref="N24"/>
      <selection pane="topRight" activeCell="N24" sqref="N24"/>
      <selection pane="bottomLeft" activeCell="N24" sqref="N24"/>
      <selection pane="bottomRight" activeCell="T12" sqref="T12:U14"/>
    </sheetView>
  </sheetViews>
  <sheetFormatPr defaultRowHeight="12.75"/>
  <cols>
    <col min="1" max="1" width="8.75" style="452" customWidth="1"/>
    <col min="2" max="2" width="7.5" style="8" customWidth="1"/>
    <col min="3" max="5" width="6.375" style="8" customWidth="1"/>
    <col min="6" max="6" width="7.375" style="8" customWidth="1"/>
    <col min="7" max="9" width="6.25" style="8" customWidth="1"/>
    <col min="10" max="10" width="7.375" style="8" customWidth="1"/>
    <col min="11" max="13" width="6.25" style="8" customWidth="1"/>
    <col min="14" max="14" width="10.375" style="8" customWidth="1"/>
    <col min="15" max="24" width="7.75" style="8" customWidth="1"/>
    <col min="25" max="25" width="9" style="8"/>
    <col min="26" max="26" width="0" style="8" hidden="1" customWidth="1"/>
    <col min="27" max="16384" width="9" style="8"/>
  </cols>
  <sheetData>
    <row r="1" spans="1:26" s="452" customFormat="1" ht="18" customHeight="1">
      <c r="A1" s="121" t="s">
        <v>934</v>
      </c>
      <c r="X1" s="459" t="s">
        <v>0</v>
      </c>
      <c r="Y1" s="97"/>
    </row>
    <row r="2" spans="1:26" s="452" customFormat="1" ht="24.95" customHeight="1">
      <c r="A2" s="767" t="s">
        <v>967</v>
      </c>
      <c r="B2" s="767"/>
      <c r="C2" s="767"/>
      <c r="D2" s="767"/>
      <c r="E2" s="767"/>
      <c r="F2" s="767"/>
      <c r="G2" s="767"/>
      <c r="H2" s="767"/>
      <c r="I2" s="767"/>
      <c r="J2" s="767"/>
      <c r="K2" s="767"/>
      <c r="L2" s="767"/>
      <c r="M2" s="767"/>
      <c r="N2" s="767" t="s">
        <v>315</v>
      </c>
      <c r="O2" s="767"/>
      <c r="P2" s="767"/>
      <c r="Q2" s="767"/>
      <c r="R2" s="767"/>
      <c r="S2" s="767"/>
      <c r="T2" s="767"/>
      <c r="U2" s="767"/>
      <c r="V2" s="767"/>
      <c r="W2" s="767"/>
      <c r="X2" s="767"/>
    </row>
    <row r="3" spans="1:26" s="452" customFormat="1" ht="15" customHeight="1" thickBot="1">
      <c r="A3" s="467"/>
      <c r="B3" s="467"/>
      <c r="C3" s="467"/>
      <c r="D3" s="467"/>
      <c r="E3" s="467"/>
      <c r="G3" s="467"/>
      <c r="H3" s="467"/>
      <c r="I3" s="467"/>
      <c r="J3" s="467"/>
      <c r="K3" s="467"/>
      <c r="L3" s="467"/>
      <c r="M3" s="475" t="s">
        <v>968</v>
      </c>
      <c r="N3" s="467"/>
      <c r="O3" s="467"/>
      <c r="X3" s="459" t="s">
        <v>196</v>
      </c>
    </row>
    <row r="4" spans="1:26" s="96" customFormat="1" ht="15.95" customHeight="1">
      <c r="A4" s="718" t="s">
        <v>453</v>
      </c>
      <c r="B4" s="720" t="s">
        <v>969</v>
      </c>
      <c r="C4" s="721"/>
      <c r="D4" s="721"/>
      <c r="E4" s="721"/>
      <c r="F4" s="721"/>
      <c r="G4" s="721"/>
      <c r="H4" s="721"/>
      <c r="I4" s="721"/>
      <c r="J4" s="721"/>
      <c r="K4" s="721"/>
      <c r="L4" s="721"/>
      <c r="M4" s="722"/>
      <c r="N4" s="722" t="s">
        <v>550</v>
      </c>
      <c r="O4" s="790"/>
      <c r="P4" s="790"/>
      <c r="Q4" s="790"/>
      <c r="R4" s="790" t="s">
        <v>970</v>
      </c>
      <c r="S4" s="790"/>
      <c r="T4" s="790"/>
      <c r="U4" s="790"/>
      <c r="V4" s="790"/>
      <c r="W4" s="790"/>
      <c r="X4" s="735" t="s">
        <v>551</v>
      </c>
      <c r="Y4" s="457"/>
    </row>
    <row r="5" spans="1:26" s="96" customFormat="1" ht="15.95" customHeight="1">
      <c r="A5" s="719"/>
      <c r="B5" s="765" t="s">
        <v>316</v>
      </c>
      <c r="C5" s="730"/>
      <c r="D5" s="730"/>
      <c r="E5" s="730"/>
      <c r="F5" s="730"/>
      <c r="G5" s="730"/>
      <c r="H5" s="730"/>
      <c r="I5" s="730"/>
      <c r="J5" s="730"/>
      <c r="K5" s="730"/>
      <c r="L5" s="730"/>
      <c r="M5" s="731"/>
      <c r="N5" s="742" t="s">
        <v>317</v>
      </c>
      <c r="O5" s="756"/>
      <c r="P5" s="756"/>
      <c r="Q5" s="756"/>
      <c r="R5" s="756" t="s">
        <v>318</v>
      </c>
      <c r="S5" s="756"/>
      <c r="T5" s="756"/>
      <c r="U5" s="756"/>
      <c r="V5" s="756"/>
      <c r="W5" s="756"/>
      <c r="X5" s="736"/>
      <c r="Y5" s="457"/>
    </row>
    <row r="6" spans="1:26" s="96" customFormat="1" ht="30" customHeight="1">
      <c r="A6" s="719"/>
      <c r="B6" s="844" t="s">
        <v>552</v>
      </c>
      <c r="C6" s="723"/>
      <c r="D6" s="723"/>
      <c r="E6" s="723"/>
      <c r="F6" s="723" t="s">
        <v>553</v>
      </c>
      <c r="G6" s="723"/>
      <c r="H6" s="723"/>
      <c r="I6" s="723"/>
      <c r="J6" s="723" t="s">
        <v>554</v>
      </c>
      <c r="K6" s="723"/>
      <c r="L6" s="723"/>
      <c r="M6" s="723"/>
      <c r="N6" s="725" t="s">
        <v>555</v>
      </c>
      <c r="O6" s="723" t="s">
        <v>556</v>
      </c>
      <c r="P6" s="723"/>
      <c r="Q6" s="723"/>
      <c r="R6" s="723" t="s">
        <v>557</v>
      </c>
      <c r="S6" s="723"/>
      <c r="T6" s="723" t="s">
        <v>558</v>
      </c>
      <c r="U6" s="723"/>
      <c r="V6" s="723" t="s">
        <v>559</v>
      </c>
      <c r="W6" s="723"/>
      <c r="X6" s="736"/>
      <c r="Y6" s="457"/>
      <c r="Z6" s="250" t="s">
        <v>1136</v>
      </c>
    </row>
    <row r="7" spans="1:26" s="96" customFormat="1" ht="30" customHeight="1">
      <c r="A7" s="719" t="s">
        <v>276</v>
      </c>
      <c r="B7" s="842" t="s">
        <v>319</v>
      </c>
      <c r="C7" s="784"/>
      <c r="D7" s="784"/>
      <c r="E7" s="784"/>
      <c r="F7" s="784" t="s">
        <v>320</v>
      </c>
      <c r="G7" s="784"/>
      <c r="H7" s="784"/>
      <c r="I7" s="784"/>
      <c r="J7" s="784" t="s">
        <v>40</v>
      </c>
      <c r="K7" s="784"/>
      <c r="L7" s="784"/>
      <c r="M7" s="784"/>
      <c r="N7" s="742"/>
      <c r="O7" s="736" t="s">
        <v>321</v>
      </c>
      <c r="P7" s="741"/>
      <c r="Q7" s="742"/>
      <c r="R7" s="736" t="s">
        <v>322</v>
      </c>
      <c r="S7" s="742"/>
      <c r="T7" s="736" t="s">
        <v>323</v>
      </c>
      <c r="U7" s="742"/>
      <c r="V7" s="736" t="s">
        <v>324</v>
      </c>
      <c r="W7" s="742"/>
      <c r="X7" s="736"/>
      <c r="Y7" s="457"/>
    </row>
    <row r="8" spans="1:26" s="96" customFormat="1" ht="15.95" customHeight="1">
      <c r="A8" s="719"/>
      <c r="B8" s="760" t="s">
        <v>560</v>
      </c>
      <c r="C8" s="723" t="s">
        <v>561</v>
      </c>
      <c r="D8" s="723"/>
      <c r="E8" s="723"/>
      <c r="F8" s="723" t="s">
        <v>562</v>
      </c>
      <c r="G8" s="723" t="s">
        <v>563</v>
      </c>
      <c r="H8" s="723"/>
      <c r="I8" s="723"/>
      <c r="J8" s="723" t="s">
        <v>562</v>
      </c>
      <c r="K8" s="723" t="s">
        <v>563</v>
      </c>
      <c r="L8" s="723"/>
      <c r="M8" s="723"/>
      <c r="N8" s="742"/>
      <c r="O8" s="723" t="s">
        <v>440</v>
      </c>
      <c r="P8" s="723" t="s">
        <v>464</v>
      </c>
      <c r="Q8" s="723" t="s">
        <v>465</v>
      </c>
      <c r="R8" s="723" t="s">
        <v>525</v>
      </c>
      <c r="S8" s="723" t="s">
        <v>526</v>
      </c>
      <c r="T8" s="723" t="s">
        <v>525</v>
      </c>
      <c r="U8" s="723" t="s">
        <v>526</v>
      </c>
      <c r="V8" s="723" t="s">
        <v>525</v>
      </c>
      <c r="W8" s="723" t="s">
        <v>526</v>
      </c>
      <c r="X8" s="736" t="s">
        <v>325</v>
      </c>
      <c r="Y8" s="457"/>
    </row>
    <row r="9" spans="1:26" s="96" customFormat="1" ht="15.95" customHeight="1">
      <c r="A9" s="719"/>
      <c r="B9" s="760"/>
      <c r="C9" s="784" t="s">
        <v>326</v>
      </c>
      <c r="D9" s="784"/>
      <c r="E9" s="784"/>
      <c r="F9" s="756"/>
      <c r="G9" s="784" t="s">
        <v>327</v>
      </c>
      <c r="H9" s="784"/>
      <c r="I9" s="784"/>
      <c r="J9" s="756"/>
      <c r="K9" s="784" t="s">
        <v>327</v>
      </c>
      <c r="L9" s="784"/>
      <c r="M9" s="784"/>
      <c r="N9" s="742" t="s">
        <v>328</v>
      </c>
      <c r="O9" s="756"/>
      <c r="P9" s="756"/>
      <c r="Q9" s="756"/>
      <c r="R9" s="756"/>
      <c r="S9" s="756"/>
      <c r="T9" s="756"/>
      <c r="U9" s="756"/>
      <c r="V9" s="756"/>
      <c r="W9" s="756"/>
      <c r="X9" s="736"/>
      <c r="Y9" s="457"/>
    </row>
    <row r="10" spans="1:26" s="96" customFormat="1" ht="15.95" customHeight="1">
      <c r="A10" s="719"/>
      <c r="B10" s="760" t="s">
        <v>314</v>
      </c>
      <c r="C10" s="461" t="s">
        <v>440</v>
      </c>
      <c r="D10" s="461" t="s">
        <v>464</v>
      </c>
      <c r="E10" s="461" t="s">
        <v>465</v>
      </c>
      <c r="F10" s="836" t="s">
        <v>329</v>
      </c>
      <c r="G10" s="461" t="s">
        <v>440</v>
      </c>
      <c r="H10" s="461" t="s">
        <v>464</v>
      </c>
      <c r="I10" s="461" t="s">
        <v>465</v>
      </c>
      <c r="J10" s="836" t="s">
        <v>329</v>
      </c>
      <c r="K10" s="461" t="s">
        <v>440</v>
      </c>
      <c r="L10" s="461" t="s">
        <v>464</v>
      </c>
      <c r="M10" s="461" t="s">
        <v>465</v>
      </c>
      <c r="N10" s="742"/>
      <c r="O10" s="756" t="s">
        <v>6</v>
      </c>
      <c r="P10" s="756" t="s">
        <v>192</v>
      </c>
      <c r="Q10" s="756" t="s">
        <v>193</v>
      </c>
      <c r="R10" s="756" t="s">
        <v>267</v>
      </c>
      <c r="S10" s="756" t="s">
        <v>246</v>
      </c>
      <c r="T10" s="756" t="s">
        <v>267</v>
      </c>
      <c r="U10" s="756" t="s">
        <v>246</v>
      </c>
      <c r="V10" s="756" t="s">
        <v>267</v>
      </c>
      <c r="W10" s="756" t="s">
        <v>246</v>
      </c>
      <c r="X10" s="736"/>
      <c r="Y10" s="457"/>
    </row>
    <row r="11" spans="1:26" s="96" customFormat="1" ht="30" customHeight="1" thickBot="1">
      <c r="A11" s="726"/>
      <c r="B11" s="761"/>
      <c r="C11" s="462" t="s">
        <v>6</v>
      </c>
      <c r="D11" s="462" t="s">
        <v>192</v>
      </c>
      <c r="E11" s="462" t="s">
        <v>193</v>
      </c>
      <c r="F11" s="837"/>
      <c r="G11" s="462" t="s">
        <v>6</v>
      </c>
      <c r="H11" s="462" t="s">
        <v>192</v>
      </c>
      <c r="I11" s="462" t="s">
        <v>193</v>
      </c>
      <c r="J11" s="837"/>
      <c r="K11" s="462" t="s">
        <v>6</v>
      </c>
      <c r="L11" s="462" t="s">
        <v>192</v>
      </c>
      <c r="M11" s="462" t="s">
        <v>193</v>
      </c>
      <c r="N11" s="762"/>
      <c r="O11" s="757"/>
      <c r="P11" s="757"/>
      <c r="Q11" s="757"/>
      <c r="R11" s="757"/>
      <c r="S11" s="757"/>
      <c r="T11" s="757"/>
      <c r="U11" s="757"/>
      <c r="V11" s="757"/>
      <c r="W11" s="757"/>
      <c r="X11" s="763"/>
      <c r="Y11" s="457"/>
    </row>
    <row r="12" spans="1:26" ht="51.6" customHeight="1">
      <c r="A12" s="450" t="s">
        <v>564</v>
      </c>
      <c r="B12" s="585">
        <v>9</v>
      </c>
      <c r="C12" s="283">
        <f t="shared" ref="C12:C20" si="0">D12+E12</f>
        <v>253</v>
      </c>
      <c r="D12" s="569">
        <v>136</v>
      </c>
      <c r="E12" s="569">
        <v>117</v>
      </c>
      <c r="F12" s="569">
        <v>0</v>
      </c>
      <c r="G12" s="569">
        <v>0</v>
      </c>
      <c r="H12" s="569">
        <v>0</v>
      </c>
      <c r="I12" s="569">
        <v>0</v>
      </c>
      <c r="J12" s="569">
        <v>0</v>
      </c>
      <c r="K12" s="569">
        <v>0</v>
      </c>
      <c r="L12" s="569">
        <v>0</v>
      </c>
      <c r="M12" s="569">
        <v>0</v>
      </c>
      <c r="N12" s="569">
        <v>62</v>
      </c>
      <c r="O12" s="569">
        <f t="shared" ref="O12:O18" si="1">P12+Q12</f>
        <v>70</v>
      </c>
      <c r="P12" s="569">
        <v>35</v>
      </c>
      <c r="Q12" s="569">
        <v>35</v>
      </c>
      <c r="R12" s="569">
        <v>57193</v>
      </c>
      <c r="S12" s="569">
        <v>89945</v>
      </c>
      <c r="T12" s="569">
        <v>0</v>
      </c>
      <c r="U12" s="569">
        <v>0</v>
      </c>
      <c r="V12" s="569">
        <v>1231</v>
      </c>
      <c r="W12" s="569">
        <v>1835</v>
      </c>
      <c r="X12" s="78">
        <v>40297</v>
      </c>
    </row>
    <row r="13" spans="1:26" ht="51.6" customHeight="1">
      <c r="A13" s="450" t="s">
        <v>565</v>
      </c>
      <c r="B13" s="585">
        <v>7</v>
      </c>
      <c r="C13" s="283">
        <f t="shared" si="0"/>
        <v>281</v>
      </c>
      <c r="D13" s="569">
        <v>144</v>
      </c>
      <c r="E13" s="569">
        <v>137</v>
      </c>
      <c r="F13" s="569">
        <v>0</v>
      </c>
      <c r="G13" s="569">
        <v>0</v>
      </c>
      <c r="H13" s="569">
        <v>0</v>
      </c>
      <c r="I13" s="569">
        <v>0</v>
      </c>
      <c r="J13" s="569">
        <v>0</v>
      </c>
      <c r="K13" s="569">
        <v>0</v>
      </c>
      <c r="L13" s="569">
        <v>0</v>
      </c>
      <c r="M13" s="569">
        <v>0</v>
      </c>
      <c r="N13" s="569">
        <v>56</v>
      </c>
      <c r="O13" s="569">
        <f t="shared" si="1"/>
        <v>73</v>
      </c>
      <c r="P13" s="569">
        <v>31</v>
      </c>
      <c r="Q13" s="569">
        <v>42</v>
      </c>
      <c r="R13" s="569">
        <v>86687</v>
      </c>
      <c r="S13" s="569">
        <v>130031</v>
      </c>
      <c r="T13" s="569">
        <v>0</v>
      </c>
      <c r="U13" s="569">
        <v>0</v>
      </c>
      <c r="V13" s="569">
        <v>1654</v>
      </c>
      <c r="W13" s="569">
        <v>2382</v>
      </c>
      <c r="X13" s="569">
        <v>9544</v>
      </c>
    </row>
    <row r="14" spans="1:26" ht="51.6" customHeight="1">
      <c r="A14" s="450" t="s">
        <v>566</v>
      </c>
      <c r="B14" s="585">
        <v>8</v>
      </c>
      <c r="C14" s="283">
        <f t="shared" si="0"/>
        <v>259</v>
      </c>
      <c r="D14" s="569">
        <v>142</v>
      </c>
      <c r="E14" s="569">
        <v>117</v>
      </c>
      <c r="F14" s="569">
        <v>0</v>
      </c>
      <c r="G14" s="569">
        <v>0</v>
      </c>
      <c r="H14" s="569">
        <v>0</v>
      </c>
      <c r="I14" s="569">
        <v>0</v>
      </c>
      <c r="J14" s="569">
        <v>0</v>
      </c>
      <c r="K14" s="569">
        <v>0</v>
      </c>
      <c r="L14" s="569">
        <v>0</v>
      </c>
      <c r="M14" s="569">
        <v>0</v>
      </c>
      <c r="N14" s="569">
        <v>54</v>
      </c>
      <c r="O14" s="569">
        <f t="shared" si="1"/>
        <v>79</v>
      </c>
      <c r="P14" s="569">
        <v>37</v>
      </c>
      <c r="Q14" s="569">
        <v>42</v>
      </c>
      <c r="R14" s="569">
        <v>65434</v>
      </c>
      <c r="S14" s="569">
        <v>98151</v>
      </c>
      <c r="T14" s="569">
        <v>0</v>
      </c>
      <c r="U14" s="569">
        <v>0</v>
      </c>
      <c r="V14" s="569">
        <v>1596</v>
      </c>
      <c r="W14" s="569">
        <v>2319</v>
      </c>
      <c r="X14" s="569">
        <v>8584</v>
      </c>
    </row>
    <row r="15" spans="1:26" ht="51.6" customHeight="1">
      <c r="A15" s="450" t="s">
        <v>567</v>
      </c>
      <c r="B15" s="585">
        <v>9</v>
      </c>
      <c r="C15" s="283">
        <f t="shared" si="0"/>
        <v>253</v>
      </c>
      <c r="D15" s="569">
        <v>139</v>
      </c>
      <c r="E15" s="569">
        <v>114</v>
      </c>
      <c r="F15" s="569">
        <v>0</v>
      </c>
      <c r="G15" s="569">
        <v>0</v>
      </c>
      <c r="H15" s="569">
        <v>0</v>
      </c>
      <c r="I15" s="569">
        <v>0</v>
      </c>
      <c r="J15" s="569">
        <v>0</v>
      </c>
      <c r="K15" s="569">
        <v>0</v>
      </c>
      <c r="L15" s="569">
        <v>0</v>
      </c>
      <c r="M15" s="569">
        <v>0</v>
      </c>
      <c r="N15" s="569">
        <v>44</v>
      </c>
      <c r="O15" s="569">
        <f t="shared" si="1"/>
        <v>76</v>
      </c>
      <c r="P15" s="569">
        <v>35</v>
      </c>
      <c r="Q15" s="569">
        <v>41</v>
      </c>
      <c r="R15" s="569">
        <v>76022</v>
      </c>
      <c r="S15" s="569">
        <v>152037</v>
      </c>
      <c r="T15" s="569">
        <v>1087</v>
      </c>
      <c r="U15" s="569">
        <v>4307</v>
      </c>
      <c r="V15" s="569">
        <v>1670</v>
      </c>
      <c r="W15" s="569">
        <v>2300</v>
      </c>
      <c r="X15" s="569">
        <v>18819</v>
      </c>
    </row>
    <row r="16" spans="1:26" ht="51.6" customHeight="1">
      <c r="A16" s="450" t="s">
        <v>568</v>
      </c>
      <c r="B16" s="569">
        <v>10</v>
      </c>
      <c r="C16" s="283">
        <f t="shared" si="0"/>
        <v>252</v>
      </c>
      <c r="D16" s="569">
        <v>131</v>
      </c>
      <c r="E16" s="569">
        <v>121</v>
      </c>
      <c r="F16" s="569">
        <v>0</v>
      </c>
      <c r="G16" s="569">
        <v>0</v>
      </c>
      <c r="H16" s="569">
        <v>0</v>
      </c>
      <c r="I16" s="569">
        <v>0</v>
      </c>
      <c r="J16" s="569">
        <v>0</v>
      </c>
      <c r="K16" s="569">
        <v>0</v>
      </c>
      <c r="L16" s="569">
        <v>0</v>
      </c>
      <c r="M16" s="569">
        <v>0</v>
      </c>
      <c r="N16" s="569">
        <v>58</v>
      </c>
      <c r="O16" s="569">
        <f t="shared" si="1"/>
        <v>102</v>
      </c>
      <c r="P16" s="569">
        <v>45</v>
      </c>
      <c r="Q16" s="569">
        <v>57</v>
      </c>
      <c r="R16" s="569">
        <v>79033</v>
      </c>
      <c r="S16" s="569">
        <v>158066</v>
      </c>
      <c r="T16" s="569">
        <v>1653</v>
      </c>
      <c r="U16" s="569">
        <v>4988</v>
      </c>
      <c r="V16" s="569">
        <v>32</v>
      </c>
      <c r="W16" s="569">
        <v>146</v>
      </c>
      <c r="X16" s="569">
        <v>8620</v>
      </c>
    </row>
    <row r="17" spans="1:25" ht="51.6" customHeight="1">
      <c r="A17" s="450" t="s">
        <v>569</v>
      </c>
      <c r="B17" s="78">
        <v>10</v>
      </c>
      <c r="C17" s="283">
        <f t="shared" si="0"/>
        <v>255</v>
      </c>
      <c r="D17" s="78">
        <v>124</v>
      </c>
      <c r="E17" s="78">
        <v>131</v>
      </c>
      <c r="F17" s="78">
        <v>0</v>
      </c>
      <c r="G17" s="78">
        <v>0</v>
      </c>
      <c r="H17" s="78">
        <v>0</v>
      </c>
      <c r="I17" s="78">
        <v>0</v>
      </c>
      <c r="J17" s="78">
        <v>0</v>
      </c>
      <c r="K17" s="78">
        <v>0</v>
      </c>
      <c r="L17" s="78">
        <v>0</v>
      </c>
      <c r="M17" s="78">
        <v>0</v>
      </c>
      <c r="N17" s="78">
        <v>54</v>
      </c>
      <c r="O17" s="569">
        <f t="shared" si="1"/>
        <v>98</v>
      </c>
      <c r="P17" s="78">
        <v>44</v>
      </c>
      <c r="Q17" s="78">
        <v>54</v>
      </c>
      <c r="R17" s="78">
        <v>77595</v>
      </c>
      <c r="S17" s="78">
        <v>155190</v>
      </c>
      <c r="T17" s="78">
        <v>1375</v>
      </c>
      <c r="U17" s="78">
        <v>3663</v>
      </c>
      <c r="V17" s="78">
        <v>46</v>
      </c>
      <c r="W17" s="78">
        <v>210</v>
      </c>
      <c r="X17" s="78">
        <v>24719</v>
      </c>
      <c r="Y17" s="11"/>
    </row>
    <row r="18" spans="1:25" ht="51.6" customHeight="1">
      <c r="A18" s="450" t="s">
        <v>505</v>
      </c>
      <c r="B18" s="585">
        <v>9</v>
      </c>
      <c r="C18" s="283">
        <f t="shared" si="0"/>
        <v>259</v>
      </c>
      <c r="D18" s="569">
        <v>123</v>
      </c>
      <c r="E18" s="283">
        <v>136</v>
      </c>
      <c r="F18" s="569">
        <v>0</v>
      </c>
      <c r="G18" s="569">
        <v>0</v>
      </c>
      <c r="H18" s="569">
        <v>0</v>
      </c>
      <c r="I18" s="569">
        <v>0</v>
      </c>
      <c r="J18" s="569">
        <v>0</v>
      </c>
      <c r="K18" s="569">
        <v>0</v>
      </c>
      <c r="L18" s="569">
        <v>0</v>
      </c>
      <c r="M18" s="569">
        <v>0</v>
      </c>
      <c r="N18" s="78">
        <v>74</v>
      </c>
      <c r="O18" s="569">
        <f t="shared" si="1"/>
        <v>98</v>
      </c>
      <c r="P18" s="78">
        <v>37</v>
      </c>
      <c r="Q18" s="78">
        <v>61</v>
      </c>
      <c r="R18" s="78">
        <v>78036</v>
      </c>
      <c r="S18" s="78">
        <f>156072000/1000</f>
        <v>156072</v>
      </c>
      <c r="T18" s="78">
        <v>1694</v>
      </c>
      <c r="U18" s="78">
        <f>8467680/1000</f>
        <v>8467.68</v>
      </c>
      <c r="V18" s="78">
        <v>64</v>
      </c>
      <c r="W18" s="78">
        <f>302000/1000</f>
        <v>302</v>
      </c>
      <c r="X18" s="78">
        <v>17322</v>
      </c>
    </row>
    <row r="19" spans="1:25" s="11" customFormat="1" ht="51.6" customHeight="1">
      <c r="A19" s="450" t="s">
        <v>798</v>
      </c>
      <c r="B19" s="585">
        <v>9</v>
      </c>
      <c r="C19" s="283">
        <f t="shared" si="0"/>
        <v>228</v>
      </c>
      <c r="D19" s="569">
        <v>111</v>
      </c>
      <c r="E19" s="283">
        <v>117</v>
      </c>
      <c r="F19" s="569">
        <v>0</v>
      </c>
      <c r="G19" s="569">
        <v>0</v>
      </c>
      <c r="H19" s="569">
        <v>0</v>
      </c>
      <c r="I19" s="569">
        <v>0</v>
      </c>
      <c r="J19" s="569">
        <v>0</v>
      </c>
      <c r="K19" s="569">
        <v>0</v>
      </c>
      <c r="L19" s="569">
        <v>0</v>
      </c>
      <c r="M19" s="569">
        <v>0</v>
      </c>
      <c r="N19" s="569">
        <v>76</v>
      </c>
      <c r="O19" s="78">
        <f>P19+Q19</f>
        <v>100</v>
      </c>
      <c r="P19" s="78">
        <v>44</v>
      </c>
      <c r="Q19" s="78">
        <v>56</v>
      </c>
      <c r="R19" s="78">
        <v>80072</v>
      </c>
      <c r="S19" s="78">
        <f>165981810/1000</f>
        <v>165981.81</v>
      </c>
      <c r="T19" s="78">
        <v>1735</v>
      </c>
      <c r="U19" s="78">
        <f>11720816/1000</f>
        <v>11720.816000000001</v>
      </c>
      <c r="V19" s="78">
        <v>134</v>
      </c>
      <c r="W19" s="78">
        <v>571</v>
      </c>
      <c r="X19" s="78">
        <v>45090</v>
      </c>
    </row>
    <row r="20" spans="1:25" s="11" customFormat="1" ht="51.6" customHeight="1">
      <c r="A20" s="444" t="s">
        <v>1045</v>
      </c>
      <c r="B20" s="584">
        <v>9</v>
      </c>
      <c r="C20" s="80">
        <f t="shared" si="0"/>
        <v>232</v>
      </c>
      <c r="D20" s="78">
        <v>112</v>
      </c>
      <c r="E20" s="80">
        <v>120</v>
      </c>
      <c r="F20" s="569">
        <v>0</v>
      </c>
      <c r="G20" s="569">
        <v>0</v>
      </c>
      <c r="H20" s="569">
        <v>0</v>
      </c>
      <c r="I20" s="569">
        <v>0</v>
      </c>
      <c r="J20" s="569">
        <v>0</v>
      </c>
      <c r="K20" s="569">
        <v>0</v>
      </c>
      <c r="L20" s="569">
        <v>0</v>
      </c>
      <c r="M20" s="569">
        <v>0</v>
      </c>
      <c r="N20" s="78" t="s">
        <v>1285</v>
      </c>
      <c r="O20" s="78">
        <f>P20+Q20</f>
        <v>101</v>
      </c>
      <c r="P20" s="569">
        <v>43</v>
      </c>
      <c r="Q20" s="569">
        <v>58</v>
      </c>
      <c r="R20" s="569">
        <v>83946</v>
      </c>
      <c r="S20" s="569">
        <f>174020058/1000</f>
        <v>174020.05799999999</v>
      </c>
      <c r="T20" s="569">
        <v>1886</v>
      </c>
      <c r="U20" s="569">
        <f>12025432/1000</f>
        <v>12025.432000000001</v>
      </c>
      <c r="V20" s="569">
        <v>136</v>
      </c>
      <c r="W20" s="569">
        <v>643</v>
      </c>
      <c r="X20" s="569">
        <v>31182</v>
      </c>
    </row>
    <row r="21" spans="1:25" s="328" customFormat="1" ht="51.6" customHeight="1" thickBot="1">
      <c r="A21" s="445" t="s">
        <v>1242</v>
      </c>
      <c r="B21" s="339">
        <v>9</v>
      </c>
      <c r="C21" s="420">
        <v>207</v>
      </c>
      <c r="D21" s="341">
        <v>112</v>
      </c>
      <c r="E21" s="420">
        <v>95</v>
      </c>
      <c r="F21" s="341">
        <v>0</v>
      </c>
      <c r="G21" s="341">
        <v>0</v>
      </c>
      <c r="H21" s="341">
        <v>0</v>
      </c>
      <c r="I21" s="341">
        <v>0</v>
      </c>
      <c r="J21" s="341">
        <v>0</v>
      </c>
      <c r="K21" s="341">
        <v>0</v>
      </c>
      <c r="L21" s="341">
        <v>0</v>
      </c>
      <c r="M21" s="341">
        <v>0</v>
      </c>
      <c r="N21" s="341">
        <v>55</v>
      </c>
      <c r="O21" s="341">
        <f>P21+Q21</f>
        <v>91</v>
      </c>
      <c r="P21" s="341">
        <v>39</v>
      </c>
      <c r="Q21" s="341">
        <v>52</v>
      </c>
      <c r="R21" s="341">
        <f>20052+20809+20327+22016</f>
        <v>83204</v>
      </c>
      <c r="S21" s="341">
        <f>(41567796+43137057+42137871+45639168)/1000</f>
        <v>172481.89199999999</v>
      </c>
      <c r="T21" s="341">
        <f>369+568+547+648</f>
        <v>2132</v>
      </c>
      <c r="U21" s="341">
        <f>(1068888+5126569+1233401+4430924)/1000</f>
        <v>11859.781999999999</v>
      </c>
      <c r="V21" s="341">
        <f>14+32+9+45</f>
        <v>100</v>
      </c>
      <c r="W21" s="341">
        <f>(61000+42000+32000+391500)/1000</f>
        <v>526.5</v>
      </c>
      <c r="X21" s="341">
        <v>66270</v>
      </c>
    </row>
    <row r="22" spans="1:25" s="452" customFormat="1" ht="15" customHeight="1">
      <c r="A22" s="97" t="s">
        <v>937</v>
      </c>
      <c r="B22" s="475"/>
      <c r="C22" s="475"/>
      <c r="D22" s="475"/>
      <c r="E22" s="467"/>
      <c r="F22" s="467"/>
      <c r="G22" s="475"/>
      <c r="H22" s="475"/>
      <c r="I22" s="467"/>
      <c r="J22" s="475"/>
      <c r="K22" s="475"/>
      <c r="L22" s="475"/>
      <c r="M22" s="475"/>
      <c r="N22" s="429" t="s">
        <v>114</v>
      </c>
      <c r="O22" s="475"/>
    </row>
    <row r="23" spans="1:25" s="452" customFormat="1" ht="15" customHeight="1">
      <c r="A23" s="100" t="s">
        <v>971</v>
      </c>
      <c r="N23" s="100" t="s">
        <v>1290</v>
      </c>
    </row>
    <row r="24" spans="1:25" s="452" customFormat="1" ht="15" customHeight="1">
      <c r="N24" s="100" t="s">
        <v>1291</v>
      </c>
    </row>
    <row r="25" spans="1:25" s="452" customFormat="1"/>
    <row r="26" spans="1:25" s="452" customFormat="1"/>
    <row r="27" spans="1:25" s="452" customFormat="1"/>
    <row r="28" spans="1:25" s="452" customFormat="1"/>
  </sheetData>
  <mergeCells count="58">
    <mergeCell ref="A2:M2"/>
    <mergeCell ref="N2:X2"/>
    <mergeCell ref="A4:A6"/>
    <mergeCell ref="B4:M4"/>
    <mergeCell ref="N4:Q4"/>
    <mergeCell ref="R4:W4"/>
    <mergeCell ref="X4:X7"/>
    <mergeCell ref="B5:M5"/>
    <mergeCell ref="N5:Q5"/>
    <mergeCell ref="R5:W5"/>
    <mergeCell ref="B6:E6"/>
    <mergeCell ref="F6:I6"/>
    <mergeCell ref="J6:M6"/>
    <mergeCell ref="N6:N8"/>
    <mergeCell ref="O6:Q6"/>
    <mergeCell ref="B8:B9"/>
    <mergeCell ref="C8:E8"/>
    <mergeCell ref="F8:F9"/>
    <mergeCell ref="G8:I8"/>
    <mergeCell ref="A7:A11"/>
    <mergeCell ref="B7:E7"/>
    <mergeCell ref="F7:I7"/>
    <mergeCell ref="B10:B11"/>
    <mergeCell ref="F10:F11"/>
    <mergeCell ref="C9:E9"/>
    <mergeCell ref="G9:I9"/>
    <mergeCell ref="J7:M7"/>
    <mergeCell ref="O7:Q7"/>
    <mergeCell ref="O8:O9"/>
    <mergeCell ref="P8:P9"/>
    <mergeCell ref="Q8:Q9"/>
    <mergeCell ref="J8:J9"/>
    <mergeCell ref="K8:M8"/>
    <mergeCell ref="T6:U6"/>
    <mergeCell ref="V6:W6"/>
    <mergeCell ref="T7:U7"/>
    <mergeCell ref="V7:W7"/>
    <mergeCell ref="S8:S9"/>
    <mergeCell ref="T8:T9"/>
    <mergeCell ref="U8:U9"/>
    <mergeCell ref="V8:V9"/>
    <mergeCell ref="W8:W9"/>
    <mergeCell ref="R7:S7"/>
    <mergeCell ref="R8:R9"/>
    <mergeCell ref="R6:S6"/>
    <mergeCell ref="J10:J11"/>
    <mergeCell ref="X8:X11"/>
    <mergeCell ref="U10:U11"/>
    <mergeCell ref="V10:V11"/>
    <mergeCell ref="W10:W11"/>
    <mergeCell ref="R10:R11"/>
    <mergeCell ref="S10:S11"/>
    <mergeCell ref="T10:T11"/>
    <mergeCell ref="K9:M9"/>
    <mergeCell ref="N9:N11"/>
    <mergeCell ref="P10:P11"/>
    <mergeCell ref="Q10:Q11"/>
    <mergeCell ref="O10:O11"/>
  </mergeCells>
  <phoneticPr fontId="6" type="noConversion"/>
  <printOptions horizontalCentered="1"/>
  <pageMargins left="0.6692913385826772" right="0.6692913385826772" top="0.6692913385826772" bottom="0.6692913385826772" header="0.27559055118110237" footer="0.27559055118110237"/>
  <pageSetup paperSize="9" firstPageNumber="352" orientation="portrait" useFirstPageNumber="1" r:id="rId1"/>
  <headerFooter alignWithMargins="0"/>
  <colBreaks count="1" manualBreakCount="1">
    <brk id="13" max="23" man="1"/>
  </colBreaks>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工作表36"/>
  <dimension ref="A1:Y40"/>
  <sheetViews>
    <sheetView showGridLines="0" tabSelected="1" view="pageBreakPreview" zoomScale="90" zoomScaleNormal="120" zoomScaleSheetLayoutView="90" workbookViewId="0">
      <selection activeCell="A9" sqref="A9"/>
    </sheetView>
  </sheetViews>
  <sheetFormatPr defaultRowHeight="12.75"/>
  <cols>
    <col min="1" max="1" width="12.75" style="452" customWidth="1"/>
    <col min="2" max="2" width="6.75" style="8" customWidth="1"/>
    <col min="3" max="3" width="7.125" style="8" customWidth="1"/>
    <col min="4" max="4" width="8.375" style="8" customWidth="1"/>
    <col min="5" max="5" width="7.625" style="8" customWidth="1"/>
    <col min="6" max="6" width="7.5" style="8" customWidth="1"/>
    <col min="7" max="7" width="6.75" style="8" customWidth="1"/>
    <col min="8" max="8" width="7.125" style="8" customWidth="1"/>
    <col min="9" max="9" width="8.375" style="8" customWidth="1"/>
    <col min="10" max="10" width="8" style="8" customWidth="1"/>
    <col min="11" max="11" width="7.5" style="8" customWidth="1"/>
    <col min="12" max="12" width="7.75" style="8" customWidth="1"/>
    <col min="13" max="13" width="8.375" style="8" customWidth="1"/>
    <col min="14" max="15" width="8" style="8" customWidth="1"/>
    <col min="16" max="16" width="7.75" style="8" customWidth="1"/>
    <col min="17" max="17" width="8.375" style="8" customWidth="1"/>
    <col min="18" max="18" width="8.5" style="8" customWidth="1"/>
    <col min="19" max="19" width="7.75" style="8" customWidth="1"/>
    <col min="20" max="20" width="7.625" style="8" customWidth="1"/>
    <col min="21" max="21" width="8.375" style="8" customWidth="1"/>
    <col min="22" max="22" width="7.75" style="8" customWidth="1"/>
    <col min="23" max="23" width="9" style="8"/>
    <col min="24" max="24" width="0" style="8" hidden="1" customWidth="1"/>
    <col min="25" max="25" width="9" style="8" hidden="1" customWidth="1"/>
    <col min="26" max="16384" width="9" style="8"/>
  </cols>
  <sheetData>
    <row r="1" spans="1:25" s="452" customFormat="1" ht="18" customHeight="1">
      <c r="A1" s="90" t="s">
        <v>934</v>
      </c>
      <c r="B1" s="514"/>
      <c r="C1" s="514"/>
      <c r="D1" s="514"/>
      <c r="E1" s="514"/>
      <c r="F1" s="514"/>
      <c r="G1" s="514"/>
      <c r="H1" s="514"/>
      <c r="I1" s="514"/>
      <c r="J1" s="514"/>
      <c r="K1" s="514"/>
      <c r="L1" s="514"/>
      <c r="M1" s="514"/>
      <c r="N1" s="514"/>
      <c r="O1" s="514"/>
      <c r="P1" s="514"/>
      <c r="V1" s="105" t="s">
        <v>830</v>
      </c>
    </row>
    <row r="2" spans="1:25" s="452" customFormat="1" ht="24.95" customHeight="1">
      <c r="A2" s="879" t="s">
        <v>960</v>
      </c>
      <c r="B2" s="879"/>
      <c r="C2" s="879"/>
      <c r="D2" s="879"/>
      <c r="E2" s="879"/>
      <c r="F2" s="879"/>
      <c r="G2" s="879"/>
      <c r="H2" s="879"/>
      <c r="I2" s="879"/>
      <c r="J2" s="879"/>
      <c r="K2" s="514"/>
      <c r="L2" s="879" t="s">
        <v>831</v>
      </c>
      <c r="M2" s="879"/>
      <c r="N2" s="879"/>
      <c r="O2" s="879"/>
      <c r="P2" s="879"/>
      <c r="Q2" s="879"/>
      <c r="R2" s="879"/>
      <c r="S2" s="879"/>
      <c r="T2" s="879"/>
      <c r="U2" s="879"/>
      <c r="V2" s="879"/>
    </row>
    <row r="3" spans="1:25" s="452" customFormat="1" ht="15" customHeight="1" thickBot="1">
      <c r="A3" s="130"/>
      <c r="B3" s="485"/>
      <c r="C3" s="485"/>
      <c r="D3" s="485"/>
      <c r="E3" s="485"/>
      <c r="F3" s="485"/>
      <c r="G3" s="514"/>
      <c r="H3" s="459"/>
      <c r="I3" s="514"/>
      <c r="J3" s="105"/>
      <c r="K3" s="105" t="s">
        <v>961</v>
      </c>
      <c r="L3" s="105"/>
      <c r="M3" s="514"/>
      <c r="N3" s="514"/>
      <c r="O3" s="514"/>
      <c r="P3" s="514"/>
      <c r="V3" s="106" t="s">
        <v>832</v>
      </c>
    </row>
    <row r="4" spans="1:25" s="452" customFormat="1" ht="15.95" customHeight="1">
      <c r="A4" s="866" t="s">
        <v>537</v>
      </c>
      <c r="B4" s="868" t="s">
        <v>538</v>
      </c>
      <c r="C4" s="613"/>
      <c r="D4" s="613"/>
      <c r="E4" s="613"/>
      <c r="F4" s="613"/>
      <c r="G4" s="613"/>
      <c r="H4" s="613"/>
      <c r="I4" s="854"/>
      <c r="J4" s="845" t="s">
        <v>962</v>
      </c>
      <c r="K4" s="613"/>
      <c r="L4" s="613"/>
      <c r="M4" s="613"/>
      <c r="N4" s="613"/>
      <c r="O4" s="613"/>
      <c r="P4" s="854"/>
      <c r="Q4" s="845" t="s">
        <v>539</v>
      </c>
      <c r="R4" s="613"/>
      <c r="S4" s="613"/>
      <c r="T4" s="613"/>
      <c r="U4" s="613"/>
      <c r="V4" s="613"/>
    </row>
    <row r="5" spans="1:25" s="452" customFormat="1" ht="15.95" customHeight="1">
      <c r="A5" s="867"/>
      <c r="B5" s="872" t="s">
        <v>330</v>
      </c>
      <c r="C5" s="617"/>
      <c r="D5" s="617"/>
      <c r="E5" s="617"/>
      <c r="F5" s="617"/>
      <c r="G5" s="617"/>
      <c r="H5" s="617"/>
      <c r="I5" s="856"/>
      <c r="J5" s="855" t="s">
        <v>331</v>
      </c>
      <c r="K5" s="617"/>
      <c r="L5" s="617"/>
      <c r="M5" s="617"/>
      <c r="N5" s="617"/>
      <c r="O5" s="617"/>
      <c r="P5" s="856"/>
      <c r="Q5" s="855" t="s">
        <v>332</v>
      </c>
      <c r="R5" s="617"/>
      <c r="S5" s="617"/>
      <c r="T5" s="617"/>
      <c r="U5" s="617"/>
      <c r="V5" s="617"/>
    </row>
    <row r="6" spans="1:25" s="452" customFormat="1" ht="20.100000000000001" customHeight="1">
      <c r="A6" s="867"/>
      <c r="B6" s="880" t="s">
        <v>540</v>
      </c>
      <c r="C6" s="857"/>
      <c r="D6" s="876" t="s">
        <v>541</v>
      </c>
      <c r="E6" s="857"/>
      <c r="F6" s="876" t="s">
        <v>542</v>
      </c>
      <c r="G6" s="877"/>
      <c r="H6" s="877"/>
      <c r="I6" s="857"/>
      <c r="J6" s="876" t="s">
        <v>540</v>
      </c>
      <c r="K6" s="857"/>
      <c r="L6" s="877" t="s">
        <v>541</v>
      </c>
      <c r="M6" s="857"/>
      <c r="N6" s="876" t="s">
        <v>542</v>
      </c>
      <c r="O6" s="877"/>
      <c r="P6" s="857"/>
      <c r="Q6" s="846" t="s">
        <v>540</v>
      </c>
      <c r="R6" s="850" t="s">
        <v>546</v>
      </c>
      <c r="S6" s="860"/>
      <c r="T6" s="876" t="s">
        <v>542</v>
      </c>
      <c r="U6" s="877"/>
      <c r="V6" s="520"/>
    </row>
    <row r="7" spans="1:25" s="452" customFormat="1" ht="15.95" customHeight="1">
      <c r="A7" s="867" t="s">
        <v>333</v>
      </c>
      <c r="B7" s="881"/>
      <c r="C7" s="858"/>
      <c r="D7" s="851"/>
      <c r="E7" s="858"/>
      <c r="F7" s="851"/>
      <c r="G7" s="859"/>
      <c r="H7" s="876" t="s">
        <v>543</v>
      </c>
      <c r="I7" s="857"/>
      <c r="J7" s="851"/>
      <c r="K7" s="858"/>
      <c r="L7" s="859"/>
      <c r="M7" s="858"/>
      <c r="N7" s="847"/>
      <c r="O7" s="876" t="s">
        <v>543</v>
      </c>
      <c r="P7" s="857"/>
      <c r="Q7" s="847"/>
      <c r="R7" s="878"/>
      <c r="S7" s="861"/>
      <c r="T7" s="851"/>
      <c r="U7" s="859"/>
      <c r="V7" s="482" t="s">
        <v>543</v>
      </c>
    </row>
    <row r="8" spans="1:25" s="452" customFormat="1" ht="27" customHeight="1" thickBot="1">
      <c r="A8" s="871"/>
      <c r="B8" s="882" t="s">
        <v>334</v>
      </c>
      <c r="C8" s="874"/>
      <c r="D8" s="873" t="s">
        <v>335</v>
      </c>
      <c r="E8" s="874"/>
      <c r="F8" s="873" t="s">
        <v>336</v>
      </c>
      <c r="G8" s="874"/>
      <c r="H8" s="873" t="s">
        <v>337</v>
      </c>
      <c r="I8" s="874"/>
      <c r="J8" s="873" t="s">
        <v>338</v>
      </c>
      <c r="K8" s="874"/>
      <c r="L8" s="875" t="s">
        <v>335</v>
      </c>
      <c r="M8" s="874"/>
      <c r="N8" s="131" t="s">
        <v>336</v>
      </c>
      <c r="O8" s="873" t="s">
        <v>339</v>
      </c>
      <c r="P8" s="874"/>
      <c r="Q8" s="484" t="s">
        <v>338</v>
      </c>
      <c r="R8" s="873" t="s">
        <v>335</v>
      </c>
      <c r="S8" s="874"/>
      <c r="T8" s="873" t="s">
        <v>336</v>
      </c>
      <c r="U8" s="874"/>
      <c r="V8" s="484" t="s">
        <v>337</v>
      </c>
    </row>
    <row r="9" spans="1:25" ht="42" customHeight="1">
      <c r="A9" s="1029" t="s">
        <v>1422</v>
      </c>
      <c r="B9" s="862">
        <f>K9+Q9</f>
        <v>234</v>
      </c>
      <c r="C9" s="863"/>
      <c r="D9" s="86"/>
      <c r="E9" s="283">
        <f>M9+S9</f>
        <v>19185</v>
      </c>
      <c r="F9" s="283"/>
      <c r="G9" s="80">
        <f>N9+U9</f>
        <v>1907</v>
      </c>
      <c r="H9" s="86"/>
      <c r="I9" s="80">
        <f>P9+V9</f>
        <v>1617</v>
      </c>
      <c r="J9" s="80"/>
      <c r="K9" s="80">
        <v>13</v>
      </c>
      <c r="L9" s="86"/>
      <c r="M9" s="80">
        <v>6773</v>
      </c>
      <c r="N9" s="80">
        <v>334</v>
      </c>
      <c r="O9" s="80"/>
      <c r="P9" s="80">
        <v>321</v>
      </c>
      <c r="Q9" s="80">
        <v>221</v>
      </c>
      <c r="R9" s="80"/>
      <c r="S9" s="80">
        <v>12412</v>
      </c>
      <c r="T9" s="80"/>
      <c r="U9" s="80">
        <v>1573</v>
      </c>
      <c r="V9" s="80">
        <v>1296</v>
      </c>
    </row>
    <row r="10" spans="1:25" ht="42" customHeight="1">
      <c r="A10" s="480" t="s">
        <v>544</v>
      </c>
      <c r="B10" s="862">
        <f>K10+Q10</f>
        <v>237</v>
      </c>
      <c r="C10" s="863"/>
      <c r="D10" s="86"/>
      <c r="E10" s="283">
        <f>M10+S10</f>
        <v>18770</v>
      </c>
      <c r="F10" s="283"/>
      <c r="G10" s="80">
        <f>N10+U10</f>
        <v>1719</v>
      </c>
      <c r="H10" s="86"/>
      <c r="I10" s="80">
        <f>P10+V10</f>
        <v>1495</v>
      </c>
      <c r="J10" s="80"/>
      <c r="K10" s="80">
        <v>13</v>
      </c>
      <c r="L10" s="86"/>
      <c r="M10" s="80">
        <v>5911</v>
      </c>
      <c r="N10" s="80">
        <v>321</v>
      </c>
      <c r="O10" s="80"/>
      <c r="P10" s="80">
        <v>308</v>
      </c>
      <c r="Q10" s="80">
        <v>224</v>
      </c>
      <c r="R10" s="80"/>
      <c r="S10" s="80">
        <v>12859</v>
      </c>
      <c r="T10" s="80"/>
      <c r="U10" s="80">
        <v>1398</v>
      </c>
      <c r="V10" s="80">
        <v>1187</v>
      </c>
    </row>
    <row r="11" spans="1:25" ht="42" customHeight="1" thickBot="1">
      <c r="A11" s="481" t="s">
        <v>448</v>
      </c>
      <c r="B11" s="864">
        <f>K11+Q11</f>
        <v>238</v>
      </c>
      <c r="C11" s="865"/>
      <c r="D11" s="588"/>
      <c r="E11" s="589">
        <f>M11+S11</f>
        <v>18765</v>
      </c>
      <c r="F11" s="589"/>
      <c r="G11" s="420">
        <f>N11+U11</f>
        <v>1669</v>
      </c>
      <c r="H11" s="588"/>
      <c r="I11" s="420">
        <f>P11+V11</f>
        <v>1449</v>
      </c>
      <c r="J11" s="420"/>
      <c r="K11" s="420">
        <v>13</v>
      </c>
      <c r="L11" s="588"/>
      <c r="M11" s="420">
        <v>5467</v>
      </c>
      <c r="N11" s="420">
        <v>340</v>
      </c>
      <c r="O11" s="420"/>
      <c r="P11" s="420">
        <v>327</v>
      </c>
      <c r="Q11" s="420">
        <v>225</v>
      </c>
      <c r="R11" s="420"/>
      <c r="S11" s="420">
        <v>13298</v>
      </c>
      <c r="T11" s="420"/>
      <c r="U11" s="420">
        <v>1329</v>
      </c>
      <c r="V11" s="420">
        <v>1122</v>
      </c>
    </row>
    <row r="12" spans="1:25" ht="20.100000000000001" customHeight="1" thickBot="1">
      <c r="A12" s="485"/>
      <c r="B12" s="32"/>
      <c r="C12" s="32"/>
      <c r="D12" s="32"/>
      <c r="E12" s="32"/>
      <c r="F12" s="32"/>
      <c r="G12" s="35"/>
      <c r="I12" s="35"/>
      <c r="J12" s="3"/>
      <c r="K12" s="35"/>
      <c r="L12" s="3"/>
      <c r="M12" s="35"/>
      <c r="N12" s="35"/>
      <c r="O12" s="35"/>
      <c r="P12" s="35"/>
      <c r="R12" s="36"/>
      <c r="W12" s="251"/>
      <c r="Y12" s="296" t="s">
        <v>1135</v>
      </c>
    </row>
    <row r="13" spans="1:25" s="97" customFormat="1" ht="15.95" customHeight="1">
      <c r="A13" s="866" t="s">
        <v>537</v>
      </c>
      <c r="B13" s="868" t="s">
        <v>538</v>
      </c>
      <c r="C13" s="613"/>
      <c r="D13" s="613"/>
      <c r="E13" s="613"/>
      <c r="F13" s="854"/>
      <c r="G13" s="852" t="s">
        <v>545</v>
      </c>
      <c r="H13" s="853"/>
      <c r="I13" s="853"/>
      <c r="J13" s="854"/>
      <c r="K13" s="613" t="s">
        <v>963</v>
      </c>
      <c r="L13" s="613"/>
      <c r="M13" s="613"/>
      <c r="N13" s="854"/>
      <c r="O13" s="613" t="s">
        <v>964</v>
      </c>
      <c r="P13" s="613"/>
      <c r="Q13" s="613"/>
      <c r="R13" s="854"/>
      <c r="S13" s="845" t="s">
        <v>965</v>
      </c>
      <c r="T13" s="613"/>
      <c r="U13" s="613"/>
      <c r="V13" s="613"/>
    </row>
    <row r="14" spans="1:25" s="97" customFormat="1" ht="15.95" customHeight="1">
      <c r="A14" s="867"/>
      <c r="B14" s="872" t="s">
        <v>330</v>
      </c>
      <c r="C14" s="617"/>
      <c r="D14" s="617"/>
      <c r="E14" s="617"/>
      <c r="F14" s="856"/>
      <c r="G14" s="855" t="s">
        <v>340</v>
      </c>
      <c r="H14" s="617"/>
      <c r="I14" s="617"/>
      <c r="J14" s="856"/>
      <c r="K14" s="617" t="s">
        <v>1039</v>
      </c>
      <c r="L14" s="617"/>
      <c r="M14" s="617"/>
      <c r="N14" s="856"/>
      <c r="O14" s="855" t="s">
        <v>341</v>
      </c>
      <c r="P14" s="617"/>
      <c r="Q14" s="617"/>
      <c r="R14" s="856"/>
      <c r="S14" s="855" t="s">
        <v>342</v>
      </c>
      <c r="T14" s="617"/>
      <c r="U14" s="617"/>
      <c r="V14" s="617"/>
    </row>
    <row r="15" spans="1:25" s="97" customFormat="1" ht="20.100000000000001" customHeight="1">
      <c r="A15" s="867"/>
      <c r="B15" s="869" t="s">
        <v>540</v>
      </c>
      <c r="C15" s="848" t="s">
        <v>546</v>
      </c>
      <c r="D15" s="850" t="s">
        <v>547</v>
      </c>
      <c r="E15" s="132"/>
      <c r="F15" s="132"/>
      <c r="G15" s="846" t="s">
        <v>540</v>
      </c>
      <c r="H15" s="848" t="s">
        <v>546</v>
      </c>
      <c r="I15" s="764" t="s">
        <v>547</v>
      </c>
      <c r="J15" s="133"/>
      <c r="K15" s="846" t="s">
        <v>540</v>
      </c>
      <c r="L15" s="860" t="s">
        <v>546</v>
      </c>
      <c r="M15" s="764" t="s">
        <v>547</v>
      </c>
      <c r="N15" s="133"/>
      <c r="O15" s="857" t="s">
        <v>540</v>
      </c>
      <c r="P15" s="848" t="s">
        <v>546</v>
      </c>
      <c r="Q15" s="764" t="s">
        <v>547</v>
      </c>
      <c r="R15" s="133"/>
      <c r="S15" s="846" t="s">
        <v>540</v>
      </c>
      <c r="T15" s="848" t="s">
        <v>546</v>
      </c>
      <c r="U15" s="850" t="s">
        <v>547</v>
      </c>
      <c r="V15" s="134"/>
    </row>
    <row r="16" spans="1:25" s="97" customFormat="1" ht="36" customHeight="1">
      <c r="A16" s="867" t="s">
        <v>333</v>
      </c>
      <c r="B16" s="870"/>
      <c r="C16" s="849"/>
      <c r="D16" s="851"/>
      <c r="E16" s="486" t="s">
        <v>548</v>
      </c>
      <c r="F16" s="135" t="s">
        <v>833</v>
      </c>
      <c r="G16" s="847"/>
      <c r="H16" s="849"/>
      <c r="I16" s="859"/>
      <c r="J16" s="136" t="s">
        <v>834</v>
      </c>
      <c r="K16" s="847"/>
      <c r="L16" s="861"/>
      <c r="M16" s="859"/>
      <c r="N16" s="136" t="s">
        <v>834</v>
      </c>
      <c r="O16" s="858"/>
      <c r="P16" s="849"/>
      <c r="Q16" s="859"/>
      <c r="R16" s="136" t="s">
        <v>834</v>
      </c>
      <c r="S16" s="847"/>
      <c r="T16" s="849"/>
      <c r="U16" s="851"/>
      <c r="V16" s="137" t="s">
        <v>833</v>
      </c>
    </row>
    <row r="17" spans="1:25" s="97" customFormat="1" ht="72" customHeight="1" thickBot="1">
      <c r="A17" s="871"/>
      <c r="B17" s="93" t="s">
        <v>343</v>
      </c>
      <c r="C17" s="519" t="s">
        <v>344</v>
      </c>
      <c r="D17" s="138" t="s">
        <v>345</v>
      </c>
      <c r="E17" s="519" t="s">
        <v>346</v>
      </c>
      <c r="F17" s="139" t="s">
        <v>347</v>
      </c>
      <c r="G17" s="483" t="s">
        <v>343</v>
      </c>
      <c r="H17" s="519" t="s">
        <v>344</v>
      </c>
      <c r="I17" s="139" t="s">
        <v>345</v>
      </c>
      <c r="J17" s="139" t="s">
        <v>835</v>
      </c>
      <c r="K17" s="519" t="s">
        <v>836</v>
      </c>
      <c r="L17" s="483" t="s">
        <v>837</v>
      </c>
      <c r="M17" s="139" t="s">
        <v>838</v>
      </c>
      <c r="N17" s="139" t="s">
        <v>835</v>
      </c>
      <c r="O17" s="483" t="s">
        <v>836</v>
      </c>
      <c r="P17" s="519" t="s">
        <v>837</v>
      </c>
      <c r="Q17" s="139" t="s">
        <v>838</v>
      </c>
      <c r="R17" s="139" t="s">
        <v>835</v>
      </c>
      <c r="S17" s="483" t="s">
        <v>836</v>
      </c>
      <c r="T17" s="519" t="s">
        <v>837</v>
      </c>
      <c r="U17" s="139" t="s">
        <v>838</v>
      </c>
      <c r="V17" s="131" t="s">
        <v>839</v>
      </c>
    </row>
    <row r="18" spans="1:25" s="2" customFormat="1" ht="42" customHeight="1">
      <c r="A18" s="480" t="s">
        <v>449</v>
      </c>
      <c r="B18" s="572">
        <f>SUM(G18,K18,S18)</f>
        <v>202</v>
      </c>
      <c r="C18" s="572">
        <f t="shared" ref="C18:D20" si="0">SUM(H18,L18,P18,T18)</f>
        <v>5933</v>
      </c>
      <c r="D18" s="572">
        <f>SUM(I18,M18,Q18,U18)</f>
        <v>671</v>
      </c>
      <c r="E18" s="572">
        <v>121</v>
      </c>
      <c r="F18" s="572">
        <v>409</v>
      </c>
      <c r="G18" s="284">
        <v>0</v>
      </c>
      <c r="H18" s="284">
        <v>0</v>
      </c>
      <c r="I18" s="284">
        <v>0</v>
      </c>
      <c r="J18" s="284">
        <v>0</v>
      </c>
      <c r="K18" s="572">
        <v>34</v>
      </c>
      <c r="L18" s="572">
        <v>528</v>
      </c>
      <c r="M18" s="572">
        <v>211</v>
      </c>
      <c r="N18" s="572">
        <v>179</v>
      </c>
      <c r="O18" s="284">
        <v>0</v>
      </c>
      <c r="P18" s="284">
        <v>0</v>
      </c>
      <c r="Q18" s="284">
        <v>0</v>
      </c>
      <c r="R18" s="284">
        <v>0</v>
      </c>
      <c r="S18" s="572">
        <v>168</v>
      </c>
      <c r="T18" s="572">
        <v>5405</v>
      </c>
      <c r="U18" s="572">
        <v>460</v>
      </c>
      <c r="V18" s="572">
        <v>351</v>
      </c>
    </row>
    <row r="19" spans="1:25" s="23" customFormat="1" ht="42" customHeight="1">
      <c r="A19" s="480" t="s">
        <v>450</v>
      </c>
      <c r="B19" s="283">
        <f>SUM(G19,K19,S19)</f>
        <v>234</v>
      </c>
      <c r="C19" s="283">
        <f t="shared" si="0"/>
        <v>8862</v>
      </c>
      <c r="D19" s="283">
        <f t="shared" si="0"/>
        <v>802</v>
      </c>
      <c r="E19" s="283">
        <f>SUM(J19,N19)</f>
        <v>137</v>
      </c>
      <c r="F19" s="283">
        <f>SUM(V19)</f>
        <v>438</v>
      </c>
      <c r="G19" s="283">
        <v>0</v>
      </c>
      <c r="H19" s="283">
        <v>0</v>
      </c>
      <c r="I19" s="80">
        <v>0</v>
      </c>
      <c r="J19" s="80">
        <v>0</v>
      </c>
      <c r="K19" s="283">
        <v>43</v>
      </c>
      <c r="L19" s="283">
        <v>855</v>
      </c>
      <c r="M19" s="80">
        <v>178</v>
      </c>
      <c r="N19" s="80">
        <v>137</v>
      </c>
      <c r="O19" s="80">
        <v>0</v>
      </c>
      <c r="P19" s="80">
        <v>0</v>
      </c>
      <c r="Q19" s="80">
        <v>0</v>
      </c>
      <c r="R19" s="80">
        <v>0</v>
      </c>
      <c r="S19" s="80">
        <f>7+184</f>
        <v>191</v>
      </c>
      <c r="T19" s="80">
        <f>202+7805</f>
        <v>8007</v>
      </c>
      <c r="U19" s="80">
        <f>15+609</f>
        <v>624</v>
      </c>
      <c r="V19" s="80">
        <f>13+425</f>
        <v>438</v>
      </c>
    </row>
    <row r="20" spans="1:25" s="23" customFormat="1" ht="42" customHeight="1">
      <c r="A20" s="480" t="s">
        <v>451</v>
      </c>
      <c r="B20" s="587">
        <f>SUM(G20,K20,O20,S20)</f>
        <v>262</v>
      </c>
      <c r="C20" s="80">
        <f t="shared" si="0"/>
        <v>10201</v>
      </c>
      <c r="D20" s="80">
        <f t="shared" si="0"/>
        <v>1034</v>
      </c>
      <c r="E20" s="80">
        <v>241</v>
      </c>
      <c r="F20" s="80">
        <f>36+V20</f>
        <v>550</v>
      </c>
      <c r="G20" s="80">
        <v>0</v>
      </c>
      <c r="H20" s="80">
        <v>0</v>
      </c>
      <c r="I20" s="80">
        <v>0</v>
      </c>
      <c r="J20" s="80">
        <v>0</v>
      </c>
      <c r="K20" s="80">
        <v>52</v>
      </c>
      <c r="L20" s="80">
        <v>980</v>
      </c>
      <c r="M20" s="80">
        <v>308</v>
      </c>
      <c r="N20" s="80">
        <v>256</v>
      </c>
      <c r="O20" s="80">
        <v>2</v>
      </c>
      <c r="P20" s="80">
        <v>105</v>
      </c>
      <c r="Q20" s="80">
        <v>23</v>
      </c>
      <c r="R20" s="80">
        <v>21</v>
      </c>
      <c r="S20" s="80">
        <v>208</v>
      </c>
      <c r="T20" s="80">
        <v>9116</v>
      </c>
      <c r="U20" s="80">
        <v>703</v>
      </c>
      <c r="V20" s="80">
        <v>514</v>
      </c>
    </row>
    <row r="21" spans="1:25" ht="42" customHeight="1">
      <c r="A21" s="480" t="s">
        <v>549</v>
      </c>
      <c r="B21" s="587">
        <f>SUM(G21,K21,O21,S21)</f>
        <v>275</v>
      </c>
      <c r="C21" s="80">
        <f t="shared" ref="C21:D23" si="1">SUM(H21,L21,P21,T21)</f>
        <v>10618</v>
      </c>
      <c r="D21" s="80">
        <f t="shared" si="1"/>
        <v>1141</v>
      </c>
      <c r="E21" s="570">
        <v>329</v>
      </c>
      <c r="F21" s="570">
        <f>14+2+V21</f>
        <v>537</v>
      </c>
      <c r="G21" s="569">
        <v>0</v>
      </c>
      <c r="H21" s="569">
        <v>0</v>
      </c>
      <c r="I21" s="569">
        <v>0</v>
      </c>
      <c r="J21" s="569">
        <v>0</v>
      </c>
      <c r="K21" s="570">
        <v>60</v>
      </c>
      <c r="L21" s="284">
        <v>1208</v>
      </c>
      <c r="M21" s="570">
        <v>384</v>
      </c>
      <c r="N21" s="570">
        <v>324</v>
      </c>
      <c r="O21" s="570">
        <v>3</v>
      </c>
      <c r="P21" s="570">
        <v>150</v>
      </c>
      <c r="Q21" s="570">
        <v>24</v>
      </c>
      <c r="R21" s="570">
        <v>21</v>
      </c>
      <c r="S21" s="80">
        <v>212</v>
      </c>
      <c r="T21" s="80">
        <v>9260</v>
      </c>
      <c r="U21" s="80">
        <v>733</v>
      </c>
      <c r="V21" s="80">
        <v>521</v>
      </c>
    </row>
    <row r="22" spans="1:25" ht="42" customHeight="1">
      <c r="A22" s="480" t="s">
        <v>840</v>
      </c>
      <c r="B22" s="587">
        <f>SUM(G22,K22,O22,S22)</f>
        <v>283</v>
      </c>
      <c r="C22" s="80">
        <f>SUM(H22,L22,P22,T22)</f>
        <v>10631</v>
      </c>
      <c r="D22" s="80">
        <f t="shared" si="1"/>
        <v>1174</v>
      </c>
      <c r="E22" s="283">
        <v>383</v>
      </c>
      <c r="F22" s="283">
        <f>V22+4</f>
        <v>503</v>
      </c>
      <c r="G22" s="283">
        <v>0</v>
      </c>
      <c r="H22" s="569">
        <v>0</v>
      </c>
      <c r="I22" s="283">
        <v>0</v>
      </c>
      <c r="J22" s="283">
        <v>0</v>
      </c>
      <c r="K22" s="80">
        <v>66</v>
      </c>
      <c r="L22" s="78">
        <v>1488</v>
      </c>
      <c r="M22" s="80">
        <v>415</v>
      </c>
      <c r="N22" s="80">
        <v>349</v>
      </c>
      <c r="O22" s="80">
        <v>3</v>
      </c>
      <c r="P22" s="80">
        <v>150</v>
      </c>
      <c r="Q22" s="80">
        <v>41</v>
      </c>
      <c r="R22" s="80">
        <v>38</v>
      </c>
      <c r="S22" s="80">
        <v>214</v>
      </c>
      <c r="T22" s="80">
        <v>8993</v>
      </c>
      <c r="U22" s="80">
        <v>718</v>
      </c>
      <c r="V22" s="80">
        <v>499</v>
      </c>
    </row>
    <row r="23" spans="1:25" ht="42" customHeight="1">
      <c r="A23" s="480" t="s">
        <v>1046</v>
      </c>
      <c r="B23" s="587">
        <f>SUM(G23,K23,O23,S23)</f>
        <v>300</v>
      </c>
      <c r="C23" s="80">
        <f>SUM(H23,L23,P23,T23)</f>
        <v>10604</v>
      </c>
      <c r="D23" s="80">
        <f t="shared" si="1"/>
        <v>1258</v>
      </c>
      <c r="E23" s="283">
        <v>422</v>
      </c>
      <c r="F23" s="80">
        <f>V23+0</f>
        <v>457</v>
      </c>
      <c r="G23" s="283">
        <v>0</v>
      </c>
      <c r="H23" s="569">
        <v>0</v>
      </c>
      <c r="I23" s="283">
        <v>0</v>
      </c>
      <c r="J23" s="283">
        <v>0</v>
      </c>
      <c r="K23" s="80">
        <v>72</v>
      </c>
      <c r="L23" s="78">
        <v>1645</v>
      </c>
      <c r="M23" s="80">
        <v>458</v>
      </c>
      <c r="N23" s="80">
        <v>386</v>
      </c>
      <c r="O23" s="80">
        <v>3</v>
      </c>
      <c r="P23" s="80">
        <v>150</v>
      </c>
      <c r="Q23" s="80">
        <v>39</v>
      </c>
      <c r="R23" s="80">
        <v>36</v>
      </c>
      <c r="S23" s="80">
        <v>225</v>
      </c>
      <c r="T23" s="80">
        <v>8809</v>
      </c>
      <c r="U23" s="80">
        <v>761</v>
      </c>
      <c r="V23" s="80">
        <v>457</v>
      </c>
      <c r="X23" s="8">
        <v>497</v>
      </c>
      <c r="Y23" s="8">
        <v>422</v>
      </c>
    </row>
    <row r="24" spans="1:25" ht="42" customHeight="1" thickBot="1">
      <c r="A24" s="417" t="s">
        <v>1250</v>
      </c>
      <c r="B24" s="419">
        <f>SUM(G24,K24,O24,S24)</f>
        <v>312</v>
      </c>
      <c r="C24" s="420">
        <f>SUM(H24,L24,P24,T24)</f>
        <v>11079</v>
      </c>
      <c r="D24" s="420">
        <f>SUM(I24,M24,Q24,U24)</f>
        <v>1438</v>
      </c>
      <c r="E24" s="420">
        <f>N24+R24</f>
        <v>547</v>
      </c>
      <c r="F24" s="420">
        <f>V24+0</f>
        <v>416</v>
      </c>
      <c r="G24" s="420">
        <v>0</v>
      </c>
      <c r="H24" s="341">
        <v>0</v>
      </c>
      <c r="I24" s="420">
        <v>0</v>
      </c>
      <c r="J24" s="420">
        <v>0</v>
      </c>
      <c r="K24" s="420">
        <v>80</v>
      </c>
      <c r="L24" s="341">
        <v>1927</v>
      </c>
      <c r="M24" s="420">
        <f>87+547-Q24</f>
        <v>559</v>
      </c>
      <c r="N24" s="420">
        <v>479</v>
      </c>
      <c r="O24" s="420">
        <v>7</v>
      </c>
      <c r="P24" s="420">
        <v>284</v>
      </c>
      <c r="Q24" s="420">
        <f>7+10+18+7+12+6+8+7</f>
        <v>75</v>
      </c>
      <c r="R24" s="420">
        <v>68</v>
      </c>
      <c r="S24" s="420">
        <v>225</v>
      </c>
      <c r="T24" s="420">
        <v>8868</v>
      </c>
      <c r="U24" s="420">
        <v>804</v>
      </c>
      <c r="V24" s="420">
        <v>416</v>
      </c>
      <c r="X24" s="8">
        <v>497</v>
      </c>
      <c r="Y24" s="8">
        <v>422</v>
      </c>
    </row>
    <row r="25" spans="1:25" s="97" customFormat="1" ht="14.45" customHeight="1">
      <c r="A25" s="99" t="s">
        <v>966</v>
      </c>
      <c r="B25" s="117"/>
      <c r="C25" s="117"/>
      <c r="D25" s="117"/>
      <c r="E25" s="117"/>
      <c r="F25" s="117"/>
      <c r="G25" s="99"/>
      <c r="H25" s="99"/>
      <c r="I25" s="99"/>
      <c r="J25" s="99"/>
      <c r="K25" s="99"/>
      <c r="L25" s="99" t="s">
        <v>841</v>
      </c>
      <c r="M25" s="99"/>
      <c r="O25" s="99"/>
      <c r="P25" s="99"/>
      <c r="Q25" s="99"/>
      <c r="R25" s="99"/>
      <c r="S25" s="99"/>
    </row>
    <row r="26" spans="1:25" s="452" customFormat="1" ht="14.45" customHeight="1">
      <c r="A26" s="129" t="s">
        <v>1064</v>
      </c>
      <c r="L26" s="100" t="s">
        <v>842</v>
      </c>
    </row>
    <row r="27" spans="1:25" s="452" customFormat="1" ht="14.45" customHeight="1">
      <c r="L27" s="100" t="s">
        <v>843</v>
      </c>
    </row>
    <row r="28" spans="1:25" s="452" customFormat="1"/>
    <row r="29" spans="1:25" s="452" customFormat="1"/>
    <row r="30" spans="1:25" s="452" customFormat="1"/>
    <row r="31" spans="1:25" s="452" customFormat="1"/>
    <row r="36" spans="1:9" ht="13.5">
      <c r="A36" s="521"/>
      <c r="B36" s="426"/>
      <c r="C36" s="426"/>
      <c r="D36" s="426"/>
      <c r="E36" s="426"/>
      <c r="F36" s="426"/>
      <c r="G36" s="426"/>
      <c r="H36" s="426"/>
      <c r="I36" s="426"/>
    </row>
    <row r="37" spans="1:9">
      <c r="A37" s="425"/>
      <c r="B37" s="426"/>
      <c r="C37" s="426"/>
      <c r="D37" s="426"/>
      <c r="E37" s="426"/>
      <c r="F37" s="426"/>
      <c r="G37" s="426"/>
      <c r="H37" s="426"/>
      <c r="I37" s="426"/>
    </row>
    <row r="40" spans="1:9" ht="15.75">
      <c r="F40" s="522"/>
    </row>
  </sheetData>
  <mergeCells count="62">
    <mergeCell ref="A2:J2"/>
    <mergeCell ref="L2:V2"/>
    <mergeCell ref="A4:A6"/>
    <mergeCell ref="B4:I4"/>
    <mergeCell ref="J4:P4"/>
    <mergeCell ref="Q4:V4"/>
    <mergeCell ref="B5:I5"/>
    <mergeCell ref="J5:P5"/>
    <mergeCell ref="Q5:V5"/>
    <mergeCell ref="B6:C7"/>
    <mergeCell ref="A7:A8"/>
    <mergeCell ref="H7:I7"/>
    <mergeCell ref="O7:P7"/>
    <mergeCell ref="B8:C8"/>
    <mergeCell ref="D8:E8"/>
    <mergeCell ref="F8:G8"/>
    <mergeCell ref="D6:E7"/>
    <mergeCell ref="F6:G7"/>
    <mergeCell ref="H6:I6"/>
    <mergeCell ref="J6:K7"/>
    <mergeCell ref="L6:M7"/>
    <mergeCell ref="N6:N7"/>
    <mergeCell ref="T8:U8"/>
    <mergeCell ref="O6:P6"/>
    <mergeCell ref="Q6:Q7"/>
    <mergeCell ref="R6:S7"/>
    <mergeCell ref="T6:U7"/>
    <mergeCell ref="H8:I8"/>
    <mergeCell ref="J8:K8"/>
    <mergeCell ref="L8:M8"/>
    <mergeCell ref="O8:P8"/>
    <mergeCell ref="R8:S8"/>
    <mergeCell ref="A13:A15"/>
    <mergeCell ref="B13:F13"/>
    <mergeCell ref="B15:B16"/>
    <mergeCell ref="C15:C16"/>
    <mergeCell ref="D15:D16"/>
    <mergeCell ref="A16:A17"/>
    <mergeCell ref="B14:F14"/>
    <mergeCell ref="I15:I16"/>
    <mergeCell ref="K15:K16"/>
    <mergeCell ref="L15:L16"/>
    <mergeCell ref="M15:M16"/>
    <mergeCell ref="B9:C9"/>
    <mergeCell ref="B10:C10"/>
    <mergeCell ref="B11:C11"/>
    <mergeCell ref="S13:V13"/>
    <mergeCell ref="S15:S16"/>
    <mergeCell ref="T15:T16"/>
    <mergeCell ref="U15:U16"/>
    <mergeCell ref="G13:J13"/>
    <mergeCell ref="K13:N13"/>
    <mergeCell ref="O13:R13"/>
    <mergeCell ref="G15:G16"/>
    <mergeCell ref="G14:J14"/>
    <mergeCell ref="K14:N14"/>
    <mergeCell ref="O14:R14"/>
    <mergeCell ref="S14:V14"/>
    <mergeCell ref="O15:O16"/>
    <mergeCell ref="P15:P16"/>
    <mergeCell ref="Q15:Q16"/>
    <mergeCell ref="H15:H16"/>
  </mergeCells>
  <phoneticPr fontId="6" type="noConversion"/>
  <printOptions horizontalCentered="1"/>
  <pageMargins left="0.6692913385826772" right="0.6692913385826772" top="0.6692913385826772" bottom="0.6692913385826772" header="0.27559055118110237" footer="0.27559055118110237"/>
  <pageSetup paperSize="9" firstPageNumber="352" orientation="portrait" useFirstPageNumber="1" r:id="rId1"/>
  <headerFooter alignWithMargins="0"/>
  <colBreaks count="1" manualBreakCount="1">
    <brk id="11" max="1048575" man="1"/>
  </colBreaks>
  <legacy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Y40"/>
  <sheetViews>
    <sheetView showGridLines="0" view="pageBreakPreview" topLeftCell="A16" zoomScale="90" zoomScaleNormal="120" zoomScaleSheetLayoutView="90" workbookViewId="0">
      <selection activeCell="R30" sqref="R30"/>
    </sheetView>
  </sheetViews>
  <sheetFormatPr defaultRowHeight="13.5"/>
  <cols>
    <col min="1" max="1" width="8.125" style="320" customWidth="1"/>
    <col min="2" max="5" width="12.875" style="309" customWidth="1"/>
    <col min="6" max="9" width="7.125" style="309" customWidth="1"/>
    <col min="10" max="15" width="8.125" style="309" customWidth="1"/>
    <col min="16" max="17" width="11.625" style="309" customWidth="1"/>
    <col min="18" max="19" width="8.125" style="309" customWidth="1"/>
    <col min="20" max="20" width="9" style="309"/>
    <col min="21" max="21" width="7.375" style="309" hidden="1" customWidth="1"/>
    <col min="22" max="28" width="0" style="309" hidden="1" customWidth="1"/>
    <col min="29" max="16384" width="9" style="309"/>
  </cols>
  <sheetData>
    <row r="1" spans="1:25" s="300" customFormat="1" ht="18" customHeight="1">
      <c r="A1" s="121" t="s">
        <v>934</v>
      </c>
      <c r="B1" s="299"/>
      <c r="C1" s="299"/>
      <c r="D1" s="299"/>
      <c r="E1" s="299"/>
      <c r="F1" s="299"/>
      <c r="G1" s="299"/>
      <c r="H1" s="299"/>
      <c r="I1" s="299"/>
      <c r="J1" s="299"/>
      <c r="K1" s="299"/>
      <c r="L1" s="299"/>
      <c r="M1" s="299"/>
      <c r="N1" s="299"/>
      <c r="O1" s="299"/>
      <c r="P1" s="299"/>
      <c r="S1" s="127" t="s">
        <v>0</v>
      </c>
    </row>
    <row r="2" spans="1:25" s="300" customFormat="1" ht="24.95" customHeight="1">
      <c r="A2" s="928" t="s">
        <v>1062</v>
      </c>
      <c r="B2" s="928"/>
      <c r="C2" s="928"/>
      <c r="D2" s="928"/>
      <c r="E2" s="928"/>
      <c r="F2" s="928"/>
      <c r="G2" s="928"/>
      <c r="H2" s="928"/>
      <c r="I2" s="928"/>
      <c r="J2" s="928" t="s">
        <v>844</v>
      </c>
      <c r="K2" s="928"/>
      <c r="L2" s="928"/>
      <c r="M2" s="928"/>
      <c r="N2" s="928"/>
      <c r="O2" s="928"/>
      <c r="P2" s="928"/>
      <c r="Q2" s="928"/>
      <c r="R2" s="928"/>
      <c r="S2" s="928"/>
    </row>
    <row r="3" spans="1:25" s="300" customFormat="1" ht="11.45" customHeight="1" thickBot="1">
      <c r="A3" s="302"/>
      <c r="B3" s="302"/>
      <c r="C3" s="302"/>
      <c r="D3" s="302"/>
      <c r="E3" s="301"/>
      <c r="F3" s="302"/>
      <c r="G3" s="301"/>
      <c r="I3" s="299"/>
      <c r="K3" s="299"/>
      <c r="L3" s="301"/>
      <c r="M3" s="299"/>
      <c r="N3" s="299"/>
      <c r="O3" s="299"/>
      <c r="P3" s="299"/>
      <c r="Q3" s="303"/>
    </row>
    <row r="4" spans="1:25" s="304" customFormat="1" ht="24" customHeight="1">
      <c r="A4" s="893" t="s">
        <v>1170</v>
      </c>
      <c r="B4" s="902" t="s">
        <v>1171</v>
      </c>
      <c r="C4" s="903"/>
      <c r="D4" s="903"/>
      <c r="E4" s="903"/>
      <c r="F4" s="903"/>
      <c r="G4" s="903"/>
      <c r="H4" s="903"/>
      <c r="I4" s="904"/>
      <c r="J4" s="903" t="s">
        <v>1172</v>
      </c>
      <c r="K4" s="903"/>
      <c r="L4" s="903"/>
      <c r="M4" s="903"/>
      <c r="N4" s="903"/>
      <c r="O4" s="903"/>
      <c r="P4" s="903"/>
      <c r="Q4" s="903"/>
      <c r="R4" s="903"/>
      <c r="S4" s="904"/>
      <c r="Y4" s="305" t="s">
        <v>1173</v>
      </c>
    </row>
    <row r="5" spans="1:25" s="304" customFormat="1" ht="21.95" customHeight="1">
      <c r="A5" s="894"/>
      <c r="B5" s="883" t="s">
        <v>1174</v>
      </c>
      <c r="C5" s="889" t="s">
        <v>1175</v>
      </c>
      <c r="D5" s="889"/>
      <c r="E5" s="891" t="s">
        <v>1176</v>
      </c>
      <c r="F5" s="895"/>
      <c r="G5" s="892"/>
      <c r="H5" s="891" t="s">
        <v>1177</v>
      </c>
      <c r="I5" s="892"/>
      <c r="J5" s="895" t="s">
        <v>1178</v>
      </c>
      <c r="K5" s="892"/>
      <c r="L5" s="895" t="s">
        <v>1179</v>
      </c>
      <c r="M5" s="892"/>
      <c r="N5" s="891" t="s">
        <v>1180</v>
      </c>
      <c r="O5" s="892"/>
      <c r="P5" s="891" t="s">
        <v>1181</v>
      </c>
      <c r="Q5" s="892"/>
      <c r="R5" s="891" t="s">
        <v>1182</v>
      </c>
      <c r="S5" s="892"/>
    </row>
    <row r="6" spans="1:25" s="304" customFormat="1" ht="20.25" customHeight="1">
      <c r="A6" s="894"/>
      <c r="B6" s="884"/>
      <c r="C6" s="896" t="s">
        <v>845</v>
      </c>
      <c r="D6" s="897"/>
      <c r="E6" s="885"/>
      <c r="F6" s="899"/>
      <c r="G6" s="886"/>
      <c r="H6" s="885"/>
      <c r="I6" s="886"/>
      <c r="J6" s="899"/>
      <c r="K6" s="886"/>
      <c r="L6" s="898" t="s">
        <v>846</v>
      </c>
      <c r="M6" s="897"/>
      <c r="N6" s="896" t="s">
        <v>847</v>
      </c>
      <c r="O6" s="897"/>
      <c r="P6" s="896" t="s">
        <v>848</v>
      </c>
      <c r="Q6" s="897"/>
      <c r="R6" s="896" t="s">
        <v>40</v>
      </c>
      <c r="S6" s="897"/>
    </row>
    <row r="7" spans="1:25" s="304" customFormat="1" ht="21.95" customHeight="1">
      <c r="A7" s="894" t="s">
        <v>201</v>
      </c>
      <c r="B7" s="884" t="s">
        <v>849</v>
      </c>
      <c r="C7" s="495" t="s">
        <v>1183</v>
      </c>
      <c r="D7" s="496" t="s">
        <v>1184</v>
      </c>
      <c r="E7" s="885" t="s">
        <v>1101</v>
      </c>
      <c r="F7" s="899"/>
      <c r="G7" s="886"/>
      <c r="H7" s="885" t="s">
        <v>1055</v>
      </c>
      <c r="I7" s="886"/>
      <c r="J7" s="899" t="s">
        <v>850</v>
      </c>
      <c r="K7" s="886"/>
      <c r="L7" s="492" t="s">
        <v>1058</v>
      </c>
      <c r="M7" s="495" t="s">
        <v>1056</v>
      </c>
      <c r="N7" s="495" t="s">
        <v>1058</v>
      </c>
      <c r="O7" s="495" t="s">
        <v>1056</v>
      </c>
      <c r="P7" s="495" t="s">
        <v>1057</v>
      </c>
      <c r="Q7" s="495" t="s">
        <v>1056</v>
      </c>
      <c r="R7" s="495" t="s">
        <v>1058</v>
      </c>
      <c r="S7" s="495" t="s">
        <v>1056</v>
      </c>
    </row>
    <row r="8" spans="1:25" s="304" customFormat="1" ht="45" customHeight="1" thickBot="1">
      <c r="A8" s="900"/>
      <c r="B8" s="901"/>
      <c r="C8" s="493" t="s">
        <v>852</v>
      </c>
      <c r="D8" s="497" t="s">
        <v>853</v>
      </c>
      <c r="E8" s="887"/>
      <c r="F8" s="929"/>
      <c r="G8" s="888"/>
      <c r="H8" s="887"/>
      <c r="I8" s="888"/>
      <c r="J8" s="929"/>
      <c r="K8" s="888"/>
      <c r="L8" s="494" t="s">
        <v>854</v>
      </c>
      <c r="M8" s="321" t="s">
        <v>855</v>
      </c>
      <c r="N8" s="497" t="s">
        <v>854</v>
      </c>
      <c r="O8" s="321" t="s">
        <v>855</v>
      </c>
      <c r="P8" s="497" t="s">
        <v>856</v>
      </c>
      <c r="Q8" s="321" t="s">
        <v>855</v>
      </c>
      <c r="R8" s="497" t="s">
        <v>854</v>
      </c>
      <c r="S8" s="321" t="s">
        <v>855</v>
      </c>
    </row>
    <row r="9" spans="1:25" s="307" customFormat="1" ht="23.25" customHeight="1">
      <c r="A9" s="306" t="s">
        <v>1185</v>
      </c>
      <c r="B9" s="590">
        <v>1</v>
      </c>
      <c r="C9" s="590">
        <v>1</v>
      </c>
      <c r="D9" s="590">
        <v>287</v>
      </c>
      <c r="E9" s="907">
        <v>0</v>
      </c>
      <c r="F9" s="907"/>
      <c r="G9" s="907"/>
      <c r="H9" s="909">
        <v>423</v>
      </c>
      <c r="I9" s="909"/>
      <c r="J9" s="907">
        <v>68</v>
      </c>
      <c r="K9" s="907"/>
      <c r="L9" s="590">
        <v>2</v>
      </c>
      <c r="M9" s="590">
        <v>290</v>
      </c>
      <c r="N9" s="591">
        <v>404</v>
      </c>
      <c r="O9" s="590">
        <v>16238</v>
      </c>
      <c r="P9" s="590">
        <v>74</v>
      </c>
      <c r="Q9" s="590">
        <v>3830</v>
      </c>
      <c r="R9" s="590" t="s">
        <v>57</v>
      </c>
      <c r="S9" s="590">
        <v>63502</v>
      </c>
    </row>
    <row r="10" spans="1:25" s="307" customFormat="1" ht="23.25" customHeight="1">
      <c r="A10" s="306" t="s">
        <v>1186</v>
      </c>
      <c r="B10" s="590">
        <v>1</v>
      </c>
      <c r="C10" s="590">
        <v>1</v>
      </c>
      <c r="D10" s="590">
        <v>322</v>
      </c>
      <c r="E10" s="907">
        <v>0</v>
      </c>
      <c r="F10" s="907"/>
      <c r="G10" s="907"/>
      <c r="H10" s="909">
        <v>292</v>
      </c>
      <c r="I10" s="909"/>
      <c r="J10" s="907">
        <v>311</v>
      </c>
      <c r="K10" s="907"/>
      <c r="L10" s="590">
        <v>1</v>
      </c>
      <c r="M10" s="590">
        <v>560</v>
      </c>
      <c r="N10" s="591">
        <v>383</v>
      </c>
      <c r="O10" s="590">
        <v>21140</v>
      </c>
      <c r="P10" s="590">
        <v>55</v>
      </c>
      <c r="Q10" s="590">
        <v>4070</v>
      </c>
      <c r="R10" s="590" t="s">
        <v>57</v>
      </c>
      <c r="S10" s="590">
        <v>117524</v>
      </c>
    </row>
    <row r="11" spans="1:25" s="307" customFormat="1" ht="23.25" customHeight="1">
      <c r="A11" s="306" t="s">
        <v>1187</v>
      </c>
      <c r="B11" s="590">
        <v>1</v>
      </c>
      <c r="C11" s="590">
        <v>1</v>
      </c>
      <c r="D11" s="590">
        <v>212</v>
      </c>
      <c r="E11" s="907">
        <v>1</v>
      </c>
      <c r="F11" s="907"/>
      <c r="G11" s="907"/>
      <c r="H11" s="909">
        <v>592</v>
      </c>
      <c r="I11" s="909"/>
      <c r="J11" s="907">
        <v>1007</v>
      </c>
      <c r="K11" s="907"/>
      <c r="L11" s="590">
        <v>0</v>
      </c>
      <c r="M11" s="590">
        <v>0</v>
      </c>
      <c r="N11" s="591">
        <v>744</v>
      </c>
      <c r="O11" s="590">
        <v>20934</v>
      </c>
      <c r="P11" s="590">
        <v>66</v>
      </c>
      <c r="Q11" s="590">
        <v>1560</v>
      </c>
      <c r="R11" s="590" t="s">
        <v>57</v>
      </c>
      <c r="S11" s="590">
        <v>124488</v>
      </c>
    </row>
    <row r="12" spans="1:25" s="307" customFormat="1" ht="23.25" customHeight="1">
      <c r="A12" s="306" t="s">
        <v>1188</v>
      </c>
      <c r="B12" s="590">
        <v>1</v>
      </c>
      <c r="C12" s="590">
        <v>2</v>
      </c>
      <c r="D12" s="590">
        <v>392</v>
      </c>
      <c r="E12" s="907">
        <v>1</v>
      </c>
      <c r="F12" s="907"/>
      <c r="G12" s="907"/>
      <c r="H12" s="907">
        <v>137</v>
      </c>
      <c r="I12" s="907"/>
      <c r="J12" s="907">
        <v>47</v>
      </c>
      <c r="K12" s="907"/>
      <c r="L12" s="590">
        <v>0</v>
      </c>
      <c r="M12" s="590">
        <v>0</v>
      </c>
      <c r="N12" s="590">
        <v>808</v>
      </c>
      <c r="O12" s="590">
        <v>10920</v>
      </c>
      <c r="P12" s="590">
        <v>48</v>
      </c>
      <c r="Q12" s="590">
        <v>1775</v>
      </c>
      <c r="R12" s="590" t="s">
        <v>57</v>
      </c>
      <c r="S12" s="590" t="s">
        <v>57</v>
      </c>
    </row>
    <row r="13" spans="1:25" ht="23.25" customHeight="1" thickBot="1">
      <c r="A13" s="306" t="s">
        <v>1189</v>
      </c>
      <c r="B13" s="592">
        <v>1</v>
      </c>
      <c r="C13" s="593">
        <v>2</v>
      </c>
      <c r="D13" s="593">
        <v>717</v>
      </c>
      <c r="E13" s="910">
        <v>1</v>
      </c>
      <c r="F13" s="910"/>
      <c r="G13" s="910"/>
      <c r="H13" s="910">
        <v>6363</v>
      </c>
      <c r="I13" s="910"/>
      <c r="J13" s="927">
        <v>2062</v>
      </c>
      <c r="K13" s="927"/>
      <c r="L13" s="593">
        <v>13</v>
      </c>
      <c r="M13" s="593">
        <v>921</v>
      </c>
      <c r="N13" s="593">
        <v>208</v>
      </c>
      <c r="O13" s="593">
        <v>3779</v>
      </c>
      <c r="P13" s="593">
        <v>152</v>
      </c>
      <c r="Q13" s="594">
        <v>4944</v>
      </c>
      <c r="R13" s="594" t="s">
        <v>57</v>
      </c>
      <c r="S13" s="594">
        <v>71111</v>
      </c>
    </row>
    <row r="14" spans="1:25" s="314" customFormat="1" ht="3" customHeight="1" thickBot="1">
      <c r="A14" s="310"/>
      <c r="B14" s="311"/>
      <c r="C14" s="311"/>
      <c r="D14" s="311"/>
      <c r="E14" s="311"/>
      <c r="F14" s="312"/>
      <c r="G14" s="312"/>
      <c r="H14" s="312"/>
      <c r="I14" s="312"/>
      <c r="J14" s="312"/>
      <c r="K14" s="312"/>
      <c r="L14" s="312"/>
      <c r="M14" s="312"/>
      <c r="N14" s="312"/>
      <c r="O14" s="312"/>
      <c r="P14" s="312"/>
      <c r="Q14" s="308"/>
      <c r="R14" s="313"/>
    </row>
    <row r="15" spans="1:25" s="304" customFormat="1" ht="24" customHeight="1">
      <c r="A15" s="893" t="s">
        <v>1170</v>
      </c>
      <c r="B15" s="902" t="s">
        <v>1171</v>
      </c>
      <c r="C15" s="903"/>
      <c r="D15" s="903"/>
      <c r="E15" s="904"/>
      <c r="F15" s="905" t="s">
        <v>1172</v>
      </c>
      <c r="G15" s="903"/>
      <c r="H15" s="903"/>
      <c r="I15" s="903"/>
      <c r="J15" s="903" t="s">
        <v>1172</v>
      </c>
      <c r="K15" s="903"/>
      <c r="L15" s="903"/>
      <c r="M15" s="903"/>
      <c r="N15" s="903"/>
      <c r="O15" s="903"/>
      <c r="P15" s="903"/>
      <c r="Q15" s="903"/>
      <c r="R15" s="903"/>
      <c r="S15" s="904"/>
    </row>
    <row r="16" spans="1:25" s="304" customFormat="1" ht="21.95" customHeight="1">
      <c r="A16" s="894"/>
      <c r="B16" s="883" t="s">
        <v>1174</v>
      </c>
      <c r="C16" s="889" t="s">
        <v>1175</v>
      </c>
      <c r="D16" s="889"/>
      <c r="E16" s="889" t="s">
        <v>1176</v>
      </c>
      <c r="F16" s="891" t="s">
        <v>1190</v>
      </c>
      <c r="G16" s="892"/>
      <c r="H16" s="891" t="s">
        <v>1191</v>
      </c>
      <c r="I16" s="892"/>
      <c r="J16" s="895" t="s">
        <v>1134</v>
      </c>
      <c r="K16" s="892"/>
      <c r="L16" s="895" t="s">
        <v>1192</v>
      </c>
      <c r="M16" s="892"/>
      <c r="N16" s="891" t="s">
        <v>1193</v>
      </c>
      <c r="O16" s="892"/>
      <c r="P16" s="891" t="s">
        <v>1194</v>
      </c>
      <c r="Q16" s="892"/>
      <c r="R16" s="891" t="s">
        <v>1182</v>
      </c>
      <c r="S16" s="892"/>
    </row>
    <row r="17" spans="1:20" s="304" customFormat="1" ht="23.25" customHeight="1">
      <c r="A17" s="894"/>
      <c r="B17" s="884"/>
      <c r="C17" s="906" t="s">
        <v>845</v>
      </c>
      <c r="D17" s="906"/>
      <c r="E17" s="890"/>
      <c r="F17" s="885"/>
      <c r="G17" s="886"/>
      <c r="H17" s="885"/>
      <c r="I17" s="886"/>
      <c r="J17" s="898" t="s">
        <v>857</v>
      </c>
      <c r="K17" s="897"/>
      <c r="L17" s="898" t="s">
        <v>858</v>
      </c>
      <c r="M17" s="897"/>
      <c r="N17" s="896" t="s">
        <v>859</v>
      </c>
      <c r="O17" s="897"/>
      <c r="P17" s="896" t="s">
        <v>860</v>
      </c>
      <c r="Q17" s="897"/>
      <c r="R17" s="896" t="s">
        <v>40</v>
      </c>
      <c r="S17" s="897"/>
    </row>
    <row r="18" spans="1:20" s="304" customFormat="1" ht="21.75" customHeight="1">
      <c r="A18" s="894" t="s">
        <v>201</v>
      </c>
      <c r="B18" s="884" t="s">
        <v>849</v>
      </c>
      <c r="C18" s="495" t="s">
        <v>1183</v>
      </c>
      <c r="D18" s="495" t="s">
        <v>1184</v>
      </c>
      <c r="E18" s="890" t="s">
        <v>1102</v>
      </c>
      <c r="F18" s="885" t="s">
        <v>1063</v>
      </c>
      <c r="G18" s="886"/>
      <c r="H18" s="885" t="s">
        <v>861</v>
      </c>
      <c r="I18" s="886"/>
      <c r="J18" s="492" t="s">
        <v>1058</v>
      </c>
      <c r="K18" s="492" t="s">
        <v>1059</v>
      </c>
      <c r="L18" s="495" t="s">
        <v>1058</v>
      </c>
      <c r="M18" s="495" t="s">
        <v>1059</v>
      </c>
      <c r="N18" s="495" t="s">
        <v>1058</v>
      </c>
      <c r="O18" s="495" t="s">
        <v>1056</v>
      </c>
      <c r="P18" s="495" t="s">
        <v>1057</v>
      </c>
      <c r="Q18" s="495" t="s">
        <v>1056</v>
      </c>
      <c r="R18" s="495" t="s">
        <v>1058</v>
      </c>
      <c r="S18" s="495" t="s">
        <v>1056</v>
      </c>
    </row>
    <row r="19" spans="1:20" s="304" customFormat="1" ht="45" customHeight="1" thickBot="1">
      <c r="A19" s="900"/>
      <c r="B19" s="901"/>
      <c r="C19" s="497" t="s">
        <v>852</v>
      </c>
      <c r="D19" s="497" t="s">
        <v>853</v>
      </c>
      <c r="E19" s="908"/>
      <c r="F19" s="887"/>
      <c r="G19" s="888"/>
      <c r="H19" s="887"/>
      <c r="I19" s="888"/>
      <c r="J19" s="494" t="s">
        <v>854</v>
      </c>
      <c r="K19" s="321" t="s">
        <v>862</v>
      </c>
      <c r="L19" s="497" t="s">
        <v>854</v>
      </c>
      <c r="M19" s="321" t="s">
        <v>855</v>
      </c>
      <c r="N19" s="497" t="s">
        <v>854</v>
      </c>
      <c r="O19" s="321" t="s">
        <v>855</v>
      </c>
      <c r="P19" s="497" t="s">
        <v>863</v>
      </c>
      <c r="Q19" s="321" t="s">
        <v>855</v>
      </c>
      <c r="R19" s="497" t="s">
        <v>854</v>
      </c>
      <c r="S19" s="321" t="s">
        <v>855</v>
      </c>
    </row>
    <row r="20" spans="1:20" ht="23.25" customHeight="1">
      <c r="A20" s="306" t="s">
        <v>1195</v>
      </c>
      <c r="B20" s="595">
        <v>16</v>
      </c>
      <c r="C20" s="596">
        <v>2</v>
      </c>
      <c r="D20" s="596">
        <v>357</v>
      </c>
      <c r="E20" s="597">
        <v>1</v>
      </c>
      <c r="F20" s="911">
        <v>23712</v>
      </c>
      <c r="G20" s="911"/>
      <c r="H20" s="911">
        <v>3088</v>
      </c>
      <c r="I20" s="911"/>
      <c r="J20" s="598">
        <v>1804</v>
      </c>
      <c r="K20" s="598">
        <v>167147</v>
      </c>
      <c r="L20" s="598">
        <v>345</v>
      </c>
      <c r="M20" s="598">
        <v>31018</v>
      </c>
      <c r="N20" s="598">
        <v>54</v>
      </c>
      <c r="O20" s="598">
        <v>1890</v>
      </c>
      <c r="P20" s="598">
        <v>87</v>
      </c>
      <c r="Q20" s="598">
        <v>5648</v>
      </c>
      <c r="R20" s="598" t="s">
        <v>57</v>
      </c>
      <c r="S20" s="598">
        <v>54957</v>
      </c>
    </row>
    <row r="21" spans="1:20" ht="23.25" customHeight="1">
      <c r="A21" s="306" t="s">
        <v>1196</v>
      </c>
      <c r="B21" s="595">
        <v>17</v>
      </c>
      <c r="C21" s="596">
        <v>2</v>
      </c>
      <c r="D21" s="596">
        <v>484</v>
      </c>
      <c r="E21" s="597">
        <v>1</v>
      </c>
      <c r="F21" s="907">
        <v>65955</v>
      </c>
      <c r="G21" s="907"/>
      <c r="H21" s="907">
        <v>11910</v>
      </c>
      <c r="I21" s="907"/>
      <c r="J21" s="590" t="s">
        <v>1293</v>
      </c>
      <c r="K21" s="590" t="s">
        <v>1294</v>
      </c>
      <c r="L21" s="590">
        <v>216</v>
      </c>
      <c r="M21" s="590">
        <v>2700</v>
      </c>
      <c r="N21" s="590">
        <v>14</v>
      </c>
      <c r="O21" s="590">
        <v>624</v>
      </c>
      <c r="P21" s="590">
        <v>96</v>
      </c>
      <c r="Q21" s="590">
        <v>3359</v>
      </c>
      <c r="R21" s="590" t="s">
        <v>57</v>
      </c>
      <c r="S21" s="590">
        <v>122661</v>
      </c>
    </row>
    <row r="22" spans="1:20" s="307" customFormat="1" ht="23.25" customHeight="1" thickBot="1">
      <c r="A22" s="315" t="s">
        <v>1197</v>
      </c>
      <c r="B22" s="599">
        <v>23</v>
      </c>
      <c r="C22" s="599">
        <v>2</v>
      </c>
      <c r="D22" s="599">
        <v>444</v>
      </c>
      <c r="E22" s="599">
        <v>1</v>
      </c>
      <c r="F22" s="923">
        <v>84101</v>
      </c>
      <c r="G22" s="923"/>
      <c r="H22" s="924">
        <v>16511</v>
      </c>
      <c r="I22" s="924"/>
      <c r="J22" s="600">
        <v>3703</v>
      </c>
      <c r="K22" s="599">
        <v>398059</v>
      </c>
      <c r="L22" s="599">
        <v>317</v>
      </c>
      <c r="M22" s="599">
        <v>4459</v>
      </c>
      <c r="N22" s="600">
        <v>28</v>
      </c>
      <c r="O22" s="599">
        <v>1091</v>
      </c>
      <c r="P22" s="599">
        <v>228</v>
      </c>
      <c r="Q22" s="599">
        <v>11636</v>
      </c>
      <c r="R22" s="599" t="s">
        <v>57</v>
      </c>
      <c r="S22" s="599">
        <v>111182</v>
      </c>
    </row>
    <row r="23" spans="1:20" s="307" customFormat="1" ht="3" customHeight="1" thickBot="1">
      <c r="A23" s="316"/>
      <c r="B23" s="490"/>
      <c r="C23" s="490"/>
      <c r="D23" s="490"/>
      <c r="E23" s="490"/>
      <c r="F23" s="490"/>
      <c r="G23" s="491"/>
      <c r="H23" s="491"/>
      <c r="I23" s="490"/>
      <c r="J23" s="490"/>
      <c r="K23" s="490"/>
      <c r="L23" s="491"/>
      <c r="M23" s="490"/>
      <c r="N23" s="490"/>
      <c r="O23" s="490"/>
      <c r="P23" s="490"/>
      <c r="Q23" s="490"/>
      <c r="R23" s="317"/>
      <c r="S23" s="317"/>
    </row>
    <row r="24" spans="1:20" s="307" customFormat="1" ht="24" customHeight="1">
      <c r="A24" s="893" t="s">
        <v>1170</v>
      </c>
      <c r="B24" s="912" t="s">
        <v>1198</v>
      </c>
      <c r="C24" s="913"/>
      <c r="D24" s="913"/>
      <c r="E24" s="914"/>
      <c r="F24" s="905" t="s">
        <v>1172</v>
      </c>
      <c r="G24" s="903"/>
      <c r="H24" s="903"/>
      <c r="I24" s="903"/>
      <c r="J24" s="903" t="s">
        <v>1172</v>
      </c>
      <c r="K24" s="903"/>
      <c r="L24" s="903"/>
      <c r="M24" s="903"/>
      <c r="N24" s="903"/>
      <c r="O24" s="903"/>
      <c r="P24" s="903"/>
      <c r="Q24" s="903"/>
      <c r="R24" s="903"/>
      <c r="S24" s="904"/>
    </row>
    <row r="25" spans="1:20" s="307" customFormat="1" ht="21.95" customHeight="1">
      <c r="A25" s="894"/>
      <c r="B25" s="883" t="s">
        <v>1174</v>
      </c>
      <c r="C25" s="889" t="s">
        <v>1175</v>
      </c>
      <c r="D25" s="889"/>
      <c r="E25" s="889" t="s">
        <v>1199</v>
      </c>
      <c r="F25" s="891" t="s">
        <v>1134</v>
      </c>
      <c r="G25" s="892"/>
      <c r="H25" s="891" t="s">
        <v>1200</v>
      </c>
      <c r="I25" s="892"/>
      <c r="J25" s="895" t="s">
        <v>1201</v>
      </c>
      <c r="K25" s="892"/>
      <c r="L25" s="891" t="s">
        <v>1202</v>
      </c>
      <c r="M25" s="892"/>
      <c r="N25" s="891" t="s">
        <v>1203</v>
      </c>
      <c r="O25" s="892"/>
      <c r="P25" s="891" t="s">
        <v>1204</v>
      </c>
      <c r="Q25" s="892"/>
      <c r="R25" s="891" t="s">
        <v>1182</v>
      </c>
      <c r="S25" s="892"/>
    </row>
    <row r="26" spans="1:20" s="307" customFormat="1" ht="24" customHeight="1">
      <c r="A26" s="894"/>
      <c r="B26" s="884"/>
      <c r="C26" s="917" t="s">
        <v>845</v>
      </c>
      <c r="D26" s="918"/>
      <c r="E26" s="890"/>
      <c r="F26" s="921" t="s">
        <v>1053</v>
      </c>
      <c r="G26" s="922"/>
      <c r="H26" s="896" t="s">
        <v>1050</v>
      </c>
      <c r="I26" s="897"/>
      <c r="J26" s="898" t="s">
        <v>1054</v>
      </c>
      <c r="K26" s="897"/>
      <c r="L26" s="896" t="s">
        <v>860</v>
      </c>
      <c r="M26" s="897"/>
      <c r="N26" s="896" t="s">
        <v>1093</v>
      </c>
      <c r="O26" s="897"/>
      <c r="P26" s="925" t="s">
        <v>1211</v>
      </c>
      <c r="Q26" s="926"/>
      <c r="R26" s="896" t="s">
        <v>40</v>
      </c>
      <c r="S26" s="897"/>
    </row>
    <row r="27" spans="1:20" s="307" customFormat="1" ht="21.95" customHeight="1">
      <c r="A27" s="894" t="s">
        <v>201</v>
      </c>
      <c r="B27" s="915" t="s">
        <v>1051</v>
      </c>
      <c r="C27" s="495" t="s">
        <v>1183</v>
      </c>
      <c r="D27" s="495" t="s">
        <v>1184</v>
      </c>
      <c r="E27" s="919" t="s">
        <v>1052</v>
      </c>
      <c r="F27" s="495" t="s">
        <v>1058</v>
      </c>
      <c r="G27" s="492" t="s">
        <v>1059</v>
      </c>
      <c r="H27" s="495" t="s">
        <v>1058</v>
      </c>
      <c r="I27" s="492" t="s">
        <v>1059</v>
      </c>
      <c r="J27" s="492" t="s">
        <v>1058</v>
      </c>
      <c r="K27" s="492" t="s">
        <v>1059</v>
      </c>
      <c r="L27" s="492" t="s">
        <v>1058</v>
      </c>
      <c r="M27" s="492" t="s">
        <v>1059</v>
      </c>
      <c r="N27" s="492" t="s">
        <v>1058</v>
      </c>
      <c r="O27" s="492" t="s">
        <v>1059</v>
      </c>
      <c r="P27" s="492" t="s">
        <v>1058</v>
      </c>
      <c r="Q27" s="492" t="s">
        <v>1059</v>
      </c>
      <c r="R27" s="492" t="s">
        <v>1058</v>
      </c>
      <c r="S27" s="492" t="s">
        <v>1059</v>
      </c>
    </row>
    <row r="28" spans="1:20" s="307" customFormat="1" ht="45" customHeight="1" thickBot="1">
      <c r="A28" s="900"/>
      <c r="B28" s="916"/>
      <c r="C28" s="497" t="s">
        <v>852</v>
      </c>
      <c r="D28" s="497" t="s">
        <v>853</v>
      </c>
      <c r="E28" s="920"/>
      <c r="F28" s="497" t="s">
        <v>854</v>
      </c>
      <c r="G28" s="321" t="s">
        <v>862</v>
      </c>
      <c r="H28" s="497" t="s">
        <v>854</v>
      </c>
      <c r="I28" s="321" t="s">
        <v>862</v>
      </c>
      <c r="J28" s="494" t="s">
        <v>854</v>
      </c>
      <c r="K28" s="321" t="s">
        <v>855</v>
      </c>
      <c r="L28" s="497" t="s">
        <v>854</v>
      </c>
      <c r="M28" s="321" t="s">
        <v>855</v>
      </c>
      <c r="N28" s="497" t="s">
        <v>854</v>
      </c>
      <c r="O28" s="321" t="s">
        <v>855</v>
      </c>
      <c r="P28" s="497" t="s">
        <v>1061</v>
      </c>
      <c r="Q28" s="321" t="s">
        <v>855</v>
      </c>
      <c r="R28" s="497" t="s">
        <v>854</v>
      </c>
      <c r="S28" s="321" t="s">
        <v>855</v>
      </c>
    </row>
    <row r="29" spans="1:20" s="307" customFormat="1" ht="23.25" customHeight="1">
      <c r="A29" s="306" t="s">
        <v>1205</v>
      </c>
      <c r="B29" s="590">
        <v>23</v>
      </c>
      <c r="C29" s="598">
        <v>2</v>
      </c>
      <c r="D29" s="598">
        <v>466</v>
      </c>
      <c r="E29" s="598">
        <v>1</v>
      </c>
      <c r="F29" s="590">
        <v>1524</v>
      </c>
      <c r="G29" s="601">
        <v>232197</v>
      </c>
      <c r="H29" s="591">
        <v>9</v>
      </c>
      <c r="I29" s="598">
        <v>360</v>
      </c>
      <c r="J29" s="590">
        <v>6</v>
      </c>
      <c r="K29" s="598">
        <v>324</v>
      </c>
      <c r="L29" s="591">
        <v>147</v>
      </c>
      <c r="M29" s="590">
        <v>9447</v>
      </c>
      <c r="N29" s="598">
        <v>11</v>
      </c>
      <c r="O29" s="590">
        <v>442</v>
      </c>
      <c r="P29" s="590">
        <v>24</v>
      </c>
      <c r="Q29" s="590">
        <v>1331</v>
      </c>
      <c r="R29" s="598" t="s">
        <v>57</v>
      </c>
      <c r="S29" s="598">
        <v>56464</v>
      </c>
    </row>
    <row r="30" spans="1:20" s="307" customFormat="1" ht="23.25" customHeight="1" thickBot="1">
      <c r="A30" s="315" t="s">
        <v>1249</v>
      </c>
      <c r="B30" s="602">
        <v>23</v>
      </c>
      <c r="C30" s="599">
        <v>2</v>
      </c>
      <c r="D30" s="599">
        <f>231+253</f>
        <v>484</v>
      </c>
      <c r="E30" s="599">
        <v>1</v>
      </c>
      <c r="F30" s="599">
        <f>167+403</f>
        <v>570</v>
      </c>
      <c r="G30" s="600">
        <f>70985+102543</f>
        <v>173528</v>
      </c>
      <c r="H30" s="600">
        <f>8+4</f>
        <v>12</v>
      </c>
      <c r="I30" s="599">
        <f>251+202</f>
        <v>453</v>
      </c>
      <c r="J30" s="599">
        <f>1+3</f>
        <v>4</v>
      </c>
      <c r="K30" s="599">
        <f>80+189</f>
        <v>269</v>
      </c>
      <c r="L30" s="600">
        <f>64+6</f>
        <v>70</v>
      </c>
      <c r="M30" s="599">
        <f>4559+425</f>
        <v>4984</v>
      </c>
      <c r="N30" s="599">
        <v>2</v>
      </c>
      <c r="O30" s="599">
        <v>128</v>
      </c>
      <c r="P30" s="599">
        <v>2</v>
      </c>
      <c r="Q30" s="599">
        <v>112</v>
      </c>
      <c r="R30" s="599">
        <v>7685</v>
      </c>
      <c r="S30" s="599">
        <f>39097+11593</f>
        <v>50690</v>
      </c>
    </row>
    <row r="31" spans="1:20" s="319" customFormat="1" ht="12" customHeight="1">
      <c r="A31" s="219" t="s">
        <v>1206</v>
      </c>
      <c r="B31" s="318"/>
      <c r="C31" s="318"/>
      <c r="D31" s="318"/>
      <c r="E31" s="318"/>
      <c r="F31" s="318"/>
      <c r="G31" s="318"/>
      <c r="I31" s="219"/>
      <c r="J31" s="219" t="s">
        <v>114</v>
      </c>
      <c r="K31" s="219"/>
      <c r="L31" s="219"/>
      <c r="N31" s="219"/>
      <c r="P31" s="219"/>
      <c r="Q31" s="219"/>
      <c r="R31" s="219"/>
      <c r="S31" s="219"/>
      <c r="T31" s="219"/>
    </row>
    <row r="32" spans="1:20" s="320" customFormat="1" ht="11.1" customHeight="1">
      <c r="A32" s="320" t="s">
        <v>1207</v>
      </c>
      <c r="J32" s="320" t="s">
        <v>1287</v>
      </c>
    </row>
    <row r="33" spans="1:10" s="320" customFormat="1" ht="10.5" customHeight="1">
      <c r="A33" s="320" t="s">
        <v>1208</v>
      </c>
      <c r="J33" s="320" t="s">
        <v>1060</v>
      </c>
    </row>
    <row r="34" spans="1:10" s="320" customFormat="1" ht="11.25" customHeight="1">
      <c r="A34" s="219" t="s">
        <v>1209</v>
      </c>
      <c r="J34" s="320" t="s">
        <v>1288</v>
      </c>
    </row>
    <row r="35" spans="1:10" s="320" customFormat="1" ht="11.1" customHeight="1">
      <c r="A35" s="320" t="s">
        <v>1210</v>
      </c>
      <c r="J35" s="320" t="s">
        <v>1289</v>
      </c>
    </row>
    <row r="36" spans="1:10" s="320" customFormat="1" ht="12" customHeight="1">
      <c r="A36" s="422" t="s">
        <v>1296</v>
      </c>
      <c r="B36" s="422"/>
      <c r="C36" s="422"/>
      <c r="D36" s="422"/>
      <c r="E36" s="422"/>
      <c r="F36" s="422"/>
      <c r="G36" s="422"/>
      <c r="H36" s="422"/>
      <c r="I36" s="422"/>
      <c r="J36" s="320" t="s">
        <v>1114</v>
      </c>
    </row>
    <row r="37" spans="1:10" s="320" customFormat="1" ht="12" customHeight="1">
      <c r="A37" s="422"/>
      <c r="B37" s="422"/>
      <c r="C37" s="422"/>
      <c r="D37" s="422"/>
      <c r="E37" s="422"/>
      <c r="F37" s="422"/>
      <c r="G37" s="422"/>
      <c r="H37" s="422"/>
      <c r="I37" s="422"/>
      <c r="J37" s="320" t="s">
        <v>1295</v>
      </c>
    </row>
    <row r="38" spans="1:10" s="320" customFormat="1" ht="12" customHeight="1"/>
    <row r="40" spans="1:10" ht="15.75">
      <c r="F40" s="522"/>
    </row>
  </sheetData>
  <mergeCells count="95">
    <mergeCell ref="F15:I15"/>
    <mergeCell ref="J15:S15"/>
    <mergeCell ref="J11:K11"/>
    <mergeCell ref="J12:K12"/>
    <mergeCell ref="E13:G13"/>
    <mergeCell ref="E11:G11"/>
    <mergeCell ref="H9:I9"/>
    <mergeCell ref="H10:I10"/>
    <mergeCell ref="E10:G10"/>
    <mergeCell ref="J2:S2"/>
    <mergeCell ref="A2:I2"/>
    <mergeCell ref="J4:S4"/>
    <mergeCell ref="B4:I4"/>
    <mergeCell ref="R5:S5"/>
    <mergeCell ref="R6:S6"/>
    <mergeCell ref="E5:G6"/>
    <mergeCell ref="E7:G8"/>
    <mergeCell ref="J7:K8"/>
    <mergeCell ref="P6:Q6"/>
    <mergeCell ref="H5:I6"/>
    <mergeCell ref="H7:I8"/>
    <mergeCell ref="J9:K9"/>
    <mergeCell ref="J10:K10"/>
    <mergeCell ref="P25:Q25"/>
    <mergeCell ref="P26:Q26"/>
    <mergeCell ref="J13:K13"/>
    <mergeCell ref="L26:M26"/>
    <mergeCell ref="N26:O26"/>
    <mergeCell ref="J16:K16"/>
    <mergeCell ref="L16:M16"/>
    <mergeCell ref="N16:O16"/>
    <mergeCell ref="J17:K17"/>
    <mergeCell ref="L17:M17"/>
    <mergeCell ref="N17:O17"/>
    <mergeCell ref="P17:Q17"/>
    <mergeCell ref="F21:G21"/>
    <mergeCell ref="F22:G22"/>
    <mergeCell ref="H20:I20"/>
    <mergeCell ref="H21:I21"/>
    <mergeCell ref="H22:I22"/>
    <mergeCell ref="R17:S17"/>
    <mergeCell ref="P16:Q16"/>
    <mergeCell ref="N25:O25"/>
    <mergeCell ref="J26:K26"/>
    <mergeCell ref="R25:S25"/>
    <mergeCell ref="R16:S16"/>
    <mergeCell ref="J24:S24"/>
    <mergeCell ref="R26:S26"/>
    <mergeCell ref="H26:I26"/>
    <mergeCell ref="J25:K25"/>
    <mergeCell ref="L25:M25"/>
    <mergeCell ref="A27:A28"/>
    <mergeCell ref="B24:E24"/>
    <mergeCell ref="B25:B26"/>
    <mergeCell ref="B27:B28"/>
    <mergeCell ref="C25:D25"/>
    <mergeCell ref="C26:D26"/>
    <mergeCell ref="E27:E28"/>
    <mergeCell ref="A24:A26"/>
    <mergeCell ref="E25:E26"/>
    <mergeCell ref="F25:G25"/>
    <mergeCell ref="F26:G26"/>
    <mergeCell ref="H25:I25"/>
    <mergeCell ref="A7:A8"/>
    <mergeCell ref="B7:B8"/>
    <mergeCell ref="A15:A17"/>
    <mergeCell ref="B15:E15"/>
    <mergeCell ref="F24:I24"/>
    <mergeCell ref="A18:A19"/>
    <mergeCell ref="B18:B19"/>
    <mergeCell ref="C17:D17"/>
    <mergeCell ref="H16:I17"/>
    <mergeCell ref="E9:G9"/>
    <mergeCell ref="E18:E19"/>
    <mergeCell ref="E12:G12"/>
    <mergeCell ref="H11:I11"/>
    <mergeCell ref="H12:I12"/>
    <mergeCell ref="H13:I13"/>
    <mergeCell ref="F20:G20"/>
    <mergeCell ref="P5:Q5"/>
    <mergeCell ref="C6:D6"/>
    <mergeCell ref="L6:M6"/>
    <mergeCell ref="N6:O6"/>
    <mergeCell ref="J5:K6"/>
    <mergeCell ref="A4:A6"/>
    <mergeCell ref="B5:B6"/>
    <mergeCell ref="C5:D5"/>
    <mergeCell ref="L5:M5"/>
    <mergeCell ref="N5:O5"/>
    <mergeCell ref="B16:B17"/>
    <mergeCell ref="F18:G19"/>
    <mergeCell ref="H18:I19"/>
    <mergeCell ref="E16:E17"/>
    <mergeCell ref="C16:D16"/>
    <mergeCell ref="F16:G17"/>
  </mergeCells>
  <phoneticPr fontId="6" type="noConversion"/>
  <printOptions horizontalCentered="1"/>
  <pageMargins left="0.6692913385826772" right="0.6692913385826772" top="0.6692913385826772" bottom="0.6692913385826772" header="0.27559055118110237" footer="0.27559055118110237"/>
  <pageSetup paperSize="9" firstPageNumber="352" fitToWidth="2" orientation="portrait" useFirstPageNumber="1" r:id="rId1"/>
  <headerFooter alignWithMargins="0"/>
  <colBreaks count="1" manualBreakCount="1">
    <brk id="9" max="1048575" man="1"/>
  </colBreaks>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T40"/>
  <sheetViews>
    <sheetView showGridLines="0" view="pageBreakPreview" topLeftCell="A10" zoomScale="90" zoomScaleNormal="120" zoomScaleSheetLayoutView="90" workbookViewId="0">
      <selection activeCell="O20" sqref="O20:P20"/>
    </sheetView>
  </sheetViews>
  <sheetFormatPr defaultRowHeight="12.75"/>
  <cols>
    <col min="1" max="1" width="9.625" style="264" customWidth="1"/>
    <col min="2" max="12" width="10.625" style="265" customWidth="1"/>
    <col min="13" max="14" width="11.625" style="265" customWidth="1"/>
    <col min="15" max="16" width="10.625" style="265" customWidth="1"/>
    <col min="17" max="16384" width="9" style="265"/>
  </cols>
  <sheetData>
    <row r="1" spans="1:20" s="448" customFormat="1" ht="18" customHeight="1">
      <c r="A1" s="121" t="s">
        <v>934</v>
      </c>
      <c r="B1" s="126"/>
      <c r="P1" s="127" t="s">
        <v>0</v>
      </c>
    </row>
    <row r="2" spans="1:20" s="448" customFormat="1" ht="24.95" customHeight="1">
      <c r="A2" s="928" t="s">
        <v>1065</v>
      </c>
      <c r="B2" s="928"/>
      <c r="C2" s="928"/>
      <c r="D2" s="928"/>
      <c r="E2" s="928"/>
      <c r="F2" s="928"/>
      <c r="G2" s="928"/>
      <c r="H2" s="928"/>
      <c r="I2" s="928" t="s">
        <v>864</v>
      </c>
      <c r="J2" s="928"/>
      <c r="K2" s="928"/>
      <c r="L2" s="928"/>
      <c r="M2" s="928"/>
      <c r="N2" s="928"/>
      <c r="O2" s="928"/>
      <c r="P2" s="928"/>
      <c r="Q2" s="124"/>
      <c r="R2" s="124"/>
    </row>
    <row r="3" spans="1:20" s="448" customFormat="1" ht="11.45" customHeight="1" thickBot="1">
      <c r="A3" s="122"/>
      <c r="B3" s="126"/>
      <c r="E3" s="126"/>
      <c r="G3" s="126"/>
      <c r="H3" s="127"/>
      <c r="I3" s="126"/>
      <c r="J3" s="126"/>
      <c r="P3" s="128"/>
    </row>
    <row r="4" spans="1:20" s="120" customFormat="1" ht="24" customHeight="1">
      <c r="A4" s="957" t="s">
        <v>1066</v>
      </c>
      <c r="B4" s="959" t="s">
        <v>1122</v>
      </c>
      <c r="C4" s="960"/>
      <c r="D4" s="960"/>
      <c r="E4" s="960"/>
      <c r="F4" s="960"/>
      <c r="G4" s="960"/>
      <c r="H4" s="960"/>
      <c r="I4" s="960" t="s">
        <v>1103</v>
      </c>
      <c r="J4" s="960"/>
      <c r="K4" s="960"/>
      <c r="L4" s="960"/>
      <c r="M4" s="960"/>
      <c r="N4" s="960"/>
      <c r="O4" s="960"/>
      <c r="P4" s="960"/>
    </row>
    <row r="5" spans="1:20" s="120" customFormat="1" ht="20.100000000000001" customHeight="1">
      <c r="A5" s="958"/>
      <c r="B5" s="961" t="s">
        <v>1067</v>
      </c>
      <c r="C5" s="961" t="s">
        <v>959</v>
      </c>
      <c r="D5" s="961" t="s">
        <v>1068</v>
      </c>
      <c r="E5" s="963" t="s">
        <v>1123</v>
      </c>
      <c r="F5" s="931"/>
      <c r="G5" s="963" t="s">
        <v>1124</v>
      </c>
      <c r="H5" s="931"/>
      <c r="I5" s="930" t="s">
        <v>1125</v>
      </c>
      <c r="J5" s="931"/>
      <c r="K5" s="963" t="s">
        <v>1126</v>
      </c>
      <c r="L5" s="930"/>
      <c r="M5" s="931"/>
      <c r="N5" s="970" t="s">
        <v>536</v>
      </c>
      <c r="O5" s="971"/>
      <c r="P5" s="971"/>
    </row>
    <row r="6" spans="1:20" s="120" customFormat="1" ht="26.1" customHeight="1">
      <c r="A6" s="958" t="s">
        <v>201</v>
      </c>
      <c r="B6" s="962"/>
      <c r="C6" s="962"/>
      <c r="D6" s="962"/>
      <c r="E6" s="965" t="s">
        <v>1104</v>
      </c>
      <c r="F6" s="966"/>
      <c r="G6" s="965" t="s">
        <v>1105</v>
      </c>
      <c r="H6" s="966"/>
      <c r="I6" s="967" t="s">
        <v>1106</v>
      </c>
      <c r="J6" s="966"/>
      <c r="K6" s="965" t="s">
        <v>1107</v>
      </c>
      <c r="L6" s="967"/>
      <c r="M6" s="966"/>
      <c r="N6" s="972" t="s">
        <v>865</v>
      </c>
      <c r="O6" s="973"/>
      <c r="P6" s="973"/>
    </row>
    <row r="7" spans="1:20" s="120" customFormat="1" ht="27.95" customHeight="1">
      <c r="A7" s="958"/>
      <c r="B7" s="962" t="s">
        <v>866</v>
      </c>
      <c r="C7" s="962" t="s">
        <v>867</v>
      </c>
      <c r="D7" s="955" t="s">
        <v>868</v>
      </c>
      <c r="E7" s="511" t="s">
        <v>869</v>
      </c>
      <c r="F7" s="511" t="s">
        <v>851</v>
      </c>
      <c r="G7" s="511" t="s">
        <v>869</v>
      </c>
      <c r="H7" s="511" t="s">
        <v>851</v>
      </c>
      <c r="I7" s="502" t="s">
        <v>869</v>
      </c>
      <c r="J7" s="511" t="s">
        <v>851</v>
      </c>
      <c r="K7" s="511" t="s">
        <v>1069</v>
      </c>
      <c r="L7" s="963" t="s">
        <v>851</v>
      </c>
      <c r="M7" s="931"/>
      <c r="N7" s="511" t="s">
        <v>1070</v>
      </c>
      <c r="O7" s="963" t="s">
        <v>851</v>
      </c>
      <c r="P7" s="930"/>
    </row>
    <row r="8" spans="1:20" s="120" customFormat="1" ht="39.950000000000003" customHeight="1" thickBot="1">
      <c r="A8" s="964"/>
      <c r="B8" s="968"/>
      <c r="C8" s="968"/>
      <c r="D8" s="956"/>
      <c r="E8" s="512" t="s">
        <v>854</v>
      </c>
      <c r="F8" s="512" t="s">
        <v>855</v>
      </c>
      <c r="G8" s="512" t="s">
        <v>854</v>
      </c>
      <c r="H8" s="512" t="s">
        <v>855</v>
      </c>
      <c r="I8" s="503" t="s">
        <v>854</v>
      </c>
      <c r="J8" s="512" t="s">
        <v>855</v>
      </c>
      <c r="K8" s="512" t="s">
        <v>856</v>
      </c>
      <c r="L8" s="975" t="s">
        <v>855</v>
      </c>
      <c r="M8" s="976"/>
      <c r="N8" s="512" t="s">
        <v>854</v>
      </c>
      <c r="O8" s="975" t="s">
        <v>855</v>
      </c>
      <c r="P8" s="977"/>
    </row>
    <row r="9" spans="1:20" s="262" customFormat="1" ht="27.2" customHeight="1">
      <c r="A9" s="505" t="s">
        <v>467</v>
      </c>
      <c r="B9" s="80">
        <v>734</v>
      </c>
      <c r="C9" s="80">
        <v>76</v>
      </c>
      <c r="D9" s="80">
        <v>976</v>
      </c>
      <c r="E9" s="603">
        <v>43</v>
      </c>
      <c r="F9" s="603">
        <v>661</v>
      </c>
      <c r="G9" s="603">
        <v>4</v>
      </c>
      <c r="H9" s="603">
        <v>207</v>
      </c>
      <c r="I9" s="603">
        <v>17</v>
      </c>
      <c r="J9" s="603">
        <v>1983</v>
      </c>
      <c r="K9" s="603">
        <v>26</v>
      </c>
      <c r="L9" s="974">
        <v>1590</v>
      </c>
      <c r="M9" s="974"/>
      <c r="N9" s="80" t="s">
        <v>1421</v>
      </c>
      <c r="O9" s="978" t="s">
        <v>57</v>
      </c>
      <c r="P9" s="978"/>
    </row>
    <row r="10" spans="1:20" s="262" customFormat="1" ht="27.2" customHeight="1">
      <c r="A10" s="505" t="s">
        <v>468</v>
      </c>
      <c r="B10" s="80">
        <v>994</v>
      </c>
      <c r="C10" s="80">
        <v>126</v>
      </c>
      <c r="D10" s="80">
        <v>700</v>
      </c>
      <c r="E10" s="603">
        <v>83</v>
      </c>
      <c r="F10" s="603">
        <v>1134</v>
      </c>
      <c r="G10" s="603">
        <v>35</v>
      </c>
      <c r="H10" s="603">
        <v>1042</v>
      </c>
      <c r="I10" s="603">
        <v>27</v>
      </c>
      <c r="J10" s="603">
        <v>1588</v>
      </c>
      <c r="K10" s="603">
        <v>19</v>
      </c>
      <c r="L10" s="974">
        <v>800</v>
      </c>
      <c r="M10" s="974"/>
      <c r="N10" s="80" t="s">
        <v>57</v>
      </c>
      <c r="O10" s="978" t="s">
        <v>57</v>
      </c>
      <c r="P10" s="978"/>
    </row>
    <row r="11" spans="1:20" s="262" customFormat="1" ht="27.2" customHeight="1">
      <c r="A11" s="505" t="s">
        <v>469</v>
      </c>
      <c r="B11" s="80">
        <v>940</v>
      </c>
      <c r="C11" s="80">
        <v>120</v>
      </c>
      <c r="D11" s="80">
        <v>1454</v>
      </c>
      <c r="E11" s="603">
        <v>39</v>
      </c>
      <c r="F11" s="603">
        <v>857</v>
      </c>
      <c r="G11" s="603">
        <v>27</v>
      </c>
      <c r="H11" s="603">
        <v>1010</v>
      </c>
      <c r="I11" s="603">
        <v>14</v>
      </c>
      <c r="J11" s="603">
        <v>1571</v>
      </c>
      <c r="K11" s="603">
        <v>8</v>
      </c>
      <c r="L11" s="974">
        <v>1969</v>
      </c>
      <c r="M11" s="974"/>
      <c r="N11" s="603">
        <v>35</v>
      </c>
      <c r="O11" s="974">
        <v>349</v>
      </c>
      <c r="P11" s="974"/>
    </row>
    <row r="12" spans="1:20" s="262" customFormat="1" ht="27.2" customHeight="1">
      <c r="A12" s="505" t="s">
        <v>470</v>
      </c>
      <c r="B12" s="603">
        <v>1410</v>
      </c>
      <c r="C12" s="603">
        <v>149</v>
      </c>
      <c r="D12" s="603">
        <v>834</v>
      </c>
      <c r="E12" s="603">
        <v>11</v>
      </c>
      <c r="F12" s="603">
        <v>4745</v>
      </c>
      <c r="G12" s="603">
        <v>24</v>
      </c>
      <c r="H12" s="603">
        <v>2088</v>
      </c>
      <c r="I12" s="603">
        <v>17</v>
      </c>
      <c r="J12" s="603">
        <v>2210</v>
      </c>
      <c r="K12" s="603">
        <v>12</v>
      </c>
      <c r="L12" s="974">
        <v>3548</v>
      </c>
      <c r="M12" s="974"/>
      <c r="N12" s="603">
        <v>0</v>
      </c>
      <c r="O12" s="974">
        <v>0</v>
      </c>
      <c r="P12" s="974"/>
    </row>
    <row r="13" spans="1:20" s="43" customFormat="1" ht="27.2" customHeight="1" thickBot="1">
      <c r="A13" s="505" t="s">
        <v>471</v>
      </c>
      <c r="B13" s="286">
        <v>2111</v>
      </c>
      <c r="C13" s="286">
        <v>241</v>
      </c>
      <c r="D13" s="286">
        <v>279</v>
      </c>
      <c r="E13" s="286">
        <v>8</v>
      </c>
      <c r="F13" s="286">
        <v>992</v>
      </c>
      <c r="G13" s="286">
        <v>6</v>
      </c>
      <c r="H13" s="286">
        <v>1175</v>
      </c>
      <c r="I13" s="286">
        <v>11</v>
      </c>
      <c r="J13" s="286">
        <v>1241</v>
      </c>
      <c r="K13" s="286">
        <v>11</v>
      </c>
      <c r="L13" s="979">
        <v>2154</v>
      </c>
      <c r="M13" s="979"/>
      <c r="N13" s="286">
        <v>7</v>
      </c>
      <c r="O13" s="979">
        <v>448</v>
      </c>
      <c r="P13" s="979"/>
      <c r="T13" s="42"/>
    </row>
    <row r="14" spans="1:20" s="43" customFormat="1" ht="24.95" customHeight="1" thickBot="1">
      <c r="A14" s="123"/>
      <c r="B14" s="498"/>
      <c r="C14" s="498"/>
      <c r="D14" s="498"/>
      <c r="E14" s="498"/>
      <c r="F14" s="498"/>
      <c r="G14" s="498"/>
      <c r="H14" s="498"/>
      <c r="I14" s="498"/>
      <c r="J14" s="498"/>
      <c r="K14" s="498"/>
      <c r="L14" s="498"/>
      <c r="M14" s="498"/>
      <c r="N14" s="498"/>
      <c r="O14" s="498"/>
      <c r="P14" s="498"/>
      <c r="T14" s="42"/>
    </row>
    <row r="15" spans="1:20" s="125" customFormat="1" ht="24" customHeight="1">
      <c r="A15" s="950" t="s">
        <v>870</v>
      </c>
      <c r="B15" s="951" t="s">
        <v>1122</v>
      </c>
      <c r="C15" s="952"/>
      <c r="D15" s="952"/>
      <c r="E15" s="952"/>
      <c r="F15" s="952"/>
      <c r="G15" s="952"/>
      <c r="H15" s="952"/>
      <c r="I15" s="952" t="s">
        <v>1103</v>
      </c>
      <c r="J15" s="952"/>
      <c r="K15" s="952"/>
      <c r="L15" s="952"/>
      <c r="M15" s="952"/>
      <c r="N15" s="952"/>
      <c r="O15" s="952"/>
      <c r="P15" s="952"/>
    </row>
    <row r="16" spans="1:20" s="125" customFormat="1" ht="20.100000000000001" customHeight="1">
      <c r="A16" s="937"/>
      <c r="B16" s="953" t="s">
        <v>871</v>
      </c>
      <c r="C16" s="954" t="s">
        <v>1072</v>
      </c>
      <c r="D16" s="954" t="s">
        <v>872</v>
      </c>
      <c r="E16" s="934" t="s">
        <v>1123</v>
      </c>
      <c r="F16" s="947"/>
      <c r="G16" s="934" t="s">
        <v>1124</v>
      </c>
      <c r="H16" s="947"/>
      <c r="I16" s="945" t="s">
        <v>1127</v>
      </c>
      <c r="J16" s="946"/>
      <c r="K16" s="934" t="s">
        <v>1126</v>
      </c>
      <c r="L16" s="935"/>
      <c r="M16" s="935"/>
      <c r="N16" s="934" t="s">
        <v>445</v>
      </c>
      <c r="O16" s="935"/>
      <c r="P16" s="935"/>
    </row>
    <row r="17" spans="1:19" s="125" customFormat="1" ht="26.1" customHeight="1">
      <c r="A17" s="937"/>
      <c r="B17" s="939"/>
      <c r="C17" s="941"/>
      <c r="D17" s="941"/>
      <c r="E17" s="936" t="s">
        <v>1108</v>
      </c>
      <c r="F17" s="933"/>
      <c r="G17" s="936" t="s">
        <v>1109</v>
      </c>
      <c r="H17" s="933"/>
      <c r="I17" s="932" t="s">
        <v>1110</v>
      </c>
      <c r="J17" s="933"/>
      <c r="K17" s="936" t="s">
        <v>1111</v>
      </c>
      <c r="L17" s="932"/>
      <c r="M17" s="932"/>
      <c r="N17" s="936" t="s">
        <v>40</v>
      </c>
      <c r="O17" s="932"/>
      <c r="P17" s="932"/>
    </row>
    <row r="18" spans="1:19" s="125" customFormat="1" ht="27.95" customHeight="1">
      <c r="A18" s="937" t="s">
        <v>201</v>
      </c>
      <c r="B18" s="939" t="s">
        <v>873</v>
      </c>
      <c r="C18" s="941" t="s">
        <v>867</v>
      </c>
      <c r="D18" s="943" t="s">
        <v>874</v>
      </c>
      <c r="E18" s="509" t="s">
        <v>875</v>
      </c>
      <c r="F18" s="509" t="s">
        <v>851</v>
      </c>
      <c r="G18" s="509" t="s">
        <v>875</v>
      </c>
      <c r="H18" s="509" t="s">
        <v>851</v>
      </c>
      <c r="I18" s="506" t="s">
        <v>875</v>
      </c>
      <c r="J18" s="509" t="s">
        <v>851</v>
      </c>
      <c r="K18" s="509" t="s">
        <v>818</v>
      </c>
      <c r="L18" s="934" t="s">
        <v>851</v>
      </c>
      <c r="M18" s="947"/>
      <c r="N18" s="509" t="s">
        <v>875</v>
      </c>
      <c r="O18" s="934" t="s">
        <v>851</v>
      </c>
      <c r="P18" s="935"/>
    </row>
    <row r="19" spans="1:19" s="125" customFormat="1" ht="39.950000000000003" customHeight="1" thickBot="1">
      <c r="A19" s="938"/>
      <c r="B19" s="940"/>
      <c r="C19" s="942"/>
      <c r="D19" s="944"/>
      <c r="E19" s="508" t="s">
        <v>854</v>
      </c>
      <c r="F19" s="508" t="s">
        <v>855</v>
      </c>
      <c r="G19" s="508" t="s">
        <v>854</v>
      </c>
      <c r="H19" s="508" t="s">
        <v>855</v>
      </c>
      <c r="I19" s="513" t="s">
        <v>854</v>
      </c>
      <c r="J19" s="508" t="s">
        <v>855</v>
      </c>
      <c r="K19" s="508" t="s">
        <v>856</v>
      </c>
      <c r="L19" s="948" t="s">
        <v>855</v>
      </c>
      <c r="M19" s="949"/>
      <c r="N19" s="508" t="s">
        <v>854</v>
      </c>
      <c r="O19" s="948" t="s">
        <v>855</v>
      </c>
      <c r="P19" s="984"/>
    </row>
    <row r="20" spans="1:19" s="45" customFormat="1" ht="27.2" customHeight="1">
      <c r="A20" s="505" t="s">
        <v>472</v>
      </c>
      <c r="B20" s="286">
        <v>887</v>
      </c>
      <c r="C20" s="286">
        <v>228</v>
      </c>
      <c r="D20" s="286">
        <v>1025</v>
      </c>
      <c r="E20" s="286">
        <v>8</v>
      </c>
      <c r="F20" s="286">
        <v>761</v>
      </c>
      <c r="G20" s="286">
        <v>5</v>
      </c>
      <c r="H20" s="286">
        <v>2859</v>
      </c>
      <c r="I20" s="286">
        <v>12</v>
      </c>
      <c r="J20" s="286">
        <v>1289</v>
      </c>
      <c r="K20" s="286">
        <v>97</v>
      </c>
      <c r="L20" s="980">
        <v>2733</v>
      </c>
      <c r="M20" s="980"/>
      <c r="N20" s="604">
        <v>0</v>
      </c>
      <c r="O20" s="982">
        <v>0</v>
      </c>
      <c r="P20" s="982"/>
      <c r="S20" s="44"/>
    </row>
    <row r="21" spans="1:19" s="45" customFormat="1" ht="27.2" customHeight="1">
      <c r="A21" s="505" t="s">
        <v>473</v>
      </c>
      <c r="B21" s="286">
        <v>1259</v>
      </c>
      <c r="C21" s="286">
        <v>138</v>
      </c>
      <c r="D21" s="286">
        <v>145</v>
      </c>
      <c r="E21" s="286">
        <v>6</v>
      </c>
      <c r="F21" s="286">
        <v>466</v>
      </c>
      <c r="G21" s="286">
        <v>8</v>
      </c>
      <c r="H21" s="286">
        <v>2154</v>
      </c>
      <c r="I21" s="286">
        <v>9</v>
      </c>
      <c r="J21" s="286">
        <v>1170</v>
      </c>
      <c r="K21" s="80">
        <v>6</v>
      </c>
      <c r="L21" s="978">
        <v>3512</v>
      </c>
      <c r="M21" s="978"/>
      <c r="N21" s="605">
        <v>4</v>
      </c>
      <c r="O21" s="983">
        <v>172</v>
      </c>
      <c r="P21" s="983"/>
      <c r="Q21" s="44"/>
    </row>
    <row r="22" spans="1:19" s="262" customFormat="1" ht="27.2" customHeight="1" thickBot="1">
      <c r="A22" s="507" t="s">
        <v>749</v>
      </c>
      <c r="B22" s="420">
        <v>1056</v>
      </c>
      <c r="C22" s="420">
        <v>207</v>
      </c>
      <c r="D22" s="420">
        <v>103</v>
      </c>
      <c r="E22" s="420">
        <v>7</v>
      </c>
      <c r="F22" s="420">
        <v>467</v>
      </c>
      <c r="G22" s="420">
        <v>6</v>
      </c>
      <c r="H22" s="420">
        <v>369</v>
      </c>
      <c r="I22" s="420">
        <v>10</v>
      </c>
      <c r="J22" s="420">
        <v>1862</v>
      </c>
      <c r="K22" s="420">
        <v>5</v>
      </c>
      <c r="L22" s="981">
        <v>2398</v>
      </c>
      <c r="M22" s="981"/>
      <c r="N22" s="420">
        <v>17</v>
      </c>
      <c r="O22" s="981">
        <v>626</v>
      </c>
      <c r="P22" s="981"/>
      <c r="Q22" s="263"/>
      <c r="R22" s="263"/>
    </row>
    <row r="23" spans="1:19" ht="13.5" thickBot="1">
      <c r="Q23" s="266"/>
      <c r="R23" s="266"/>
    </row>
    <row r="24" spans="1:19" ht="16.5" customHeight="1">
      <c r="A24" s="950" t="s">
        <v>870</v>
      </c>
      <c r="B24" s="951" t="s">
        <v>1128</v>
      </c>
      <c r="C24" s="952"/>
      <c r="D24" s="952"/>
      <c r="E24" s="952"/>
      <c r="F24" s="952"/>
      <c r="G24" s="952"/>
      <c r="H24" s="952"/>
      <c r="I24" s="952" t="s">
        <v>1071</v>
      </c>
      <c r="J24" s="952"/>
      <c r="K24" s="952"/>
      <c r="L24" s="952"/>
      <c r="M24" s="952"/>
      <c r="N24" s="952"/>
      <c r="O24" s="952"/>
      <c r="P24" s="952"/>
      <c r="Q24" s="261"/>
      <c r="R24" s="261"/>
    </row>
    <row r="25" spans="1:19" ht="20.100000000000001" customHeight="1">
      <c r="A25" s="937"/>
      <c r="B25" s="953" t="s">
        <v>871</v>
      </c>
      <c r="C25" s="954" t="s">
        <v>1072</v>
      </c>
      <c r="D25" s="954" t="s">
        <v>872</v>
      </c>
      <c r="E25" s="934" t="s">
        <v>1129</v>
      </c>
      <c r="F25" s="947"/>
      <c r="G25" s="934" t="s">
        <v>1130</v>
      </c>
      <c r="H25" s="947"/>
      <c r="I25" s="935" t="s">
        <v>1131</v>
      </c>
      <c r="J25" s="947"/>
      <c r="K25" s="934" t="s">
        <v>1132</v>
      </c>
      <c r="L25" s="947"/>
      <c r="M25" s="934" t="s">
        <v>1133</v>
      </c>
      <c r="N25" s="947"/>
      <c r="O25" s="934" t="s">
        <v>445</v>
      </c>
      <c r="P25" s="935"/>
      <c r="Q25" s="969"/>
      <c r="R25" s="969"/>
    </row>
    <row r="26" spans="1:19" ht="26.1" customHeight="1">
      <c r="A26" s="937"/>
      <c r="B26" s="939"/>
      <c r="C26" s="941"/>
      <c r="D26" s="941"/>
      <c r="E26" s="936" t="s">
        <v>1073</v>
      </c>
      <c r="F26" s="933"/>
      <c r="G26" s="936" t="s">
        <v>1074</v>
      </c>
      <c r="H26" s="933"/>
      <c r="I26" s="932" t="s">
        <v>1089</v>
      </c>
      <c r="J26" s="933"/>
      <c r="K26" s="936" t="s">
        <v>1091</v>
      </c>
      <c r="L26" s="933"/>
      <c r="M26" s="936" t="s">
        <v>1090</v>
      </c>
      <c r="N26" s="933"/>
      <c r="O26" s="936" t="s">
        <v>40</v>
      </c>
      <c r="P26" s="932"/>
      <c r="Q26" s="969"/>
      <c r="R26" s="969"/>
    </row>
    <row r="27" spans="1:19" ht="25.5">
      <c r="A27" s="937" t="s">
        <v>201</v>
      </c>
      <c r="B27" s="939" t="s">
        <v>873</v>
      </c>
      <c r="C27" s="941" t="s">
        <v>867</v>
      </c>
      <c r="D27" s="943" t="s">
        <v>874</v>
      </c>
      <c r="E27" s="509" t="s">
        <v>875</v>
      </c>
      <c r="F27" s="509" t="s">
        <v>851</v>
      </c>
      <c r="G27" s="509" t="s">
        <v>875</v>
      </c>
      <c r="H27" s="509" t="s">
        <v>851</v>
      </c>
      <c r="I27" s="506" t="s">
        <v>875</v>
      </c>
      <c r="J27" s="509" t="s">
        <v>851</v>
      </c>
      <c r="K27" s="506" t="s">
        <v>875</v>
      </c>
      <c r="L27" s="509" t="s">
        <v>851</v>
      </c>
      <c r="M27" s="506" t="s">
        <v>818</v>
      </c>
      <c r="N27" s="509" t="s">
        <v>851</v>
      </c>
      <c r="O27" s="509" t="s">
        <v>875</v>
      </c>
      <c r="P27" s="501" t="s">
        <v>851</v>
      </c>
      <c r="Q27" s="510"/>
      <c r="R27" s="510"/>
    </row>
    <row r="28" spans="1:19" ht="39" thickBot="1">
      <c r="A28" s="938"/>
      <c r="B28" s="940"/>
      <c r="C28" s="942"/>
      <c r="D28" s="944"/>
      <c r="E28" s="508" t="s">
        <v>854</v>
      </c>
      <c r="F28" s="508" t="s">
        <v>855</v>
      </c>
      <c r="G28" s="508" t="s">
        <v>854</v>
      </c>
      <c r="H28" s="508" t="s">
        <v>855</v>
      </c>
      <c r="I28" s="513" t="s">
        <v>854</v>
      </c>
      <c r="J28" s="508" t="s">
        <v>855</v>
      </c>
      <c r="K28" s="513" t="s">
        <v>854</v>
      </c>
      <c r="L28" s="508" t="s">
        <v>855</v>
      </c>
      <c r="M28" s="508" t="s">
        <v>856</v>
      </c>
      <c r="N28" s="508" t="s">
        <v>855</v>
      </c>
      <c r="O28" s="508" t="s">
        <v>854</v>
      </c>
      <c r="P28" s="500" t="s">
        <v>855</v>
      </c>
      <c r="Q28" s="510"/>
      <c r="R28" s="510"/>
    </row>
    <row r="29" spans="1:19" ht="27.2" customHeight="1">
      <c r="A29" s="505" t="s">
        <v>1042</v>
      </c>
      <c r="B29" s="80">
        <v>1567</v>
      </c>
      <c r="C29" s="80">
        <v>626</v>
      </c>
      <c r="D29" s="604">
        <v>115</v>
      </c>
      <c r="E29" s="80">
        <v>2</v>
      </c>
      <c r="F29" s="604">
        <v>52</v>
      </c>
      <c r="G29" s="80">
        <v>5</v>
      </c>
      <c r="H29" s="604">
        <v>236</v>
      </c>
      <c r="I29" s="80">
        <v>9</v>
      </c>
      <c r="J29" s="604">
        <v>1200</v>
      </c>
      <c r="K29" s="604">
        <v>6</v>
      </c>
      <c r="L29" s="80">
        <v>232</v>
      </c>
      <c r="M29" s="80">
        <v>3</v>
      </c>
      <c r="N29" s="80">
        <v>317</v>
      </c>
      <c r="O29" s="604">
        <v>3</v>
      </c>
      <c r="P29" s="80">
        <v>63</v>
      </c>
      <c r="Q29" s="504"/>
      <c r="R29" s="504"/>
    </row>
    <row r="30" spans="1:19" s="335" customFormat="1" ht="27.2" customHeight="1" thickBot="1">
      <c r="A30" s="507" t="s">
        <v>1235</v>
      </c>
      <c r="B30" s="419">
        <f>770+823</f>
        <v>1593</v>
      </c>
      <c r="C30" s="420">
        <f>395+421</f>
        <v>816</v>
      </c>
      <c r="D30" s="420">
        <f>330+357</f>
        <v>687</v>
      </c>
      <c r="E30" s="420">
        <v>3</v>
      </c>
      <c r="F30" s="420">
        <v>74</v>
      </c>
      <c r="G30" s="420">
        <v>5</v>
      </c>
      <c r="H30" s="420">
        <f>302+78</f>
        <v>380</v>
      </c>
      <c r="I30" s="420">
        <v>20</v>
      </c>
      <c r="J30" s="420">
        <f>1164+582</f>
        <v>1746</v>
      </c>
      <c r="K30" s="420">
        <v>9</v>
      </c>
      <c r="L30" s="420">
        <f>71+134</f>
        <v>205</v>
      </c>
      <c r="M30" s="420">
        <v>2</v>
      </c>
      <c r="N30" s="420">
        <v>173</v>
      </c>
      <c r="O30" s="420">
        <v>5</v>
      </c>
      <c r="P30" s="420">
        <v>80</v>
      </c>
      <c r="Q30" s="334"/>
      <c r="R30" s="334"/>
    </row>
    <row r="31" spans="1:19">
      <c r="Q31" s="266"/>
      <c r="R31" s="266"/>
    </row>
    <row r="32" spans="1:19">
      <c r="Q32" s="266"/>
      <c r="R32" s="266"/>
    </row>
    <row r="33" spans="1:18">
      <c r="Q33" s="266"/>
      <c r="R33" s="266"/>
    </row>
    <row r="36" spans="1:18" ht="13.5">
      <c r="A36" s="523"/>
      <c r="B36" s="424"/>
      <c r="C36" s="424"/>
      <c r="D36" s="424"/>
      <c r="E36" s="424"/>
      <c r="F36" s="424"/>
      <c r="G36" s="424"/>
      <c r="H36" s="424"/>
      <c r="I36" s="424"/>
    </row>
    <row r="37" spans="1:18">
      <c r="A37" s="423"/>
      <c r="B37" s="424"/>
      <c r="C37" s="424"/>
      <c r="D37" s="424"/>
      <c r="E37" s="424"/>
      <c r="F37" s="424"/>
      <c r="G37" s="424"/>
      <c r="H37" s="424"/>
      <c r="I37" s="424"/>
    </row>
    <row r="40" spans="1:18" ht="15.75">
      <c r="F40" s="522"/>
    </row>
  </sheetData>
  <mergeCells count="90">
    <mergeCell ref="L13:M13"/>
    <mergeCell ref="L20:M20"/>
    <mergeCell ref="L21:M21"/>
    <mergeCell ref="L22:M22"/>
    <mergeCell ref="O12:P12"/>
    <mergeCell ref="O13:P13"/>
    <mergeCell ref="O20:P20"/>
    <mergeCell ref="O21:P21"/>
    <mergeCell ref="O22:P22"/>
    <mergeCell ref="O19:P19"/>
    <mergeCell ref="L12:M12"/>
    <mergeCell ref="O18:P18"/>
    <mergeCell ref="N16:P16"/>
    <mergeCell ref="N17:P17"/>
    <mergeCell ref="N5:P5"/>
    <mergeCell ref="N6:P6"/>
    <mergeCell ref="O11:P11"/>
    <mergeCell ref="K5:M5"/>
    <mergeCell ref="K6:M6"/>
    <mergeCell ref="L7:M7"/>
    <mergeCell ref="L8:M8"/>
    <mergeCell ref="L9:M9"/>
    <mergeCell ref="L10:M10"/>
    <mergeCell ref="L11:M11"/>
    <mergeCell ref="O7:P7"/>
    <mergeCell ref="O8:P8"/>
    <mergeCell ref="O9:P9"/>
    <mergeCell ref="O10:P10"/>
    <mergeCell ref="I24:P24"/>
    <mergeCell ref="O25:P25"/>
    <mergeCell ref="A24:A26"/>
    <mergeCell ref="B24:H24"/>
    <mergeCell ref="B25:B26"/>
    <mergeCell ref="K25:L25"/>
    <mergeCell ref="A27:A28"/>
    <mergeCell ref="B27:B28"/>
    <mergeCell ref="C27:C28"/>
    <mergeCell ref="D27:D28"/>
    <mergeCell ref="O26:P26"/>
    <mergeCell ref="C25:C26"/>
    <mergeCell ref="D25:D26"/>
    <mergeCell ref="Q25:R25"/>
    <mergeCell ref="E26:F26"/>
    <mergeCell ref="G26:H26"/>
    <mergeCell ref="I26:J26"/>
    <mergeCell ref="K26:L26"/>
    <mergeCell ref="Q26:R26"/>
    <mergeCell ref="M25:N25"/>
    <mergeCell ref="M26:N26"/>
    <mergeCell ref="E25:F25"/>
    <mergeCell ref="G25:H25"/>
    <mergeCell ref="I25:J25"/>
    <mergeCell ref="A2:H2"/>
    <mergeCell ref="I2:P2"/>
    <mergeCell ref="A4:A5"/>
    <mergeCell ref="B4:H4"/>
    <mergeCell ref="I4:P4"/>
    <mergeCell ref="B5:B6"/>
    <mergeCell ref="C5:C6"/>
    <mergeCell ref="D5:D6"/>
    <mergeCell ref="E5:F5"/>
    <mergeCell ref="G5:H5"/>
    <mergeCell ref="A6:A8"/>
    <mergeCell ref="E6:F6"/>
    <mergeCell ref="G6:H6"/>
    <mergeCell ref="I6:J6"/>
    <mergeCell ref="B7:B8"/>
    <mergeCell ref="C7:C8"/>
    <mergeCell ref="D7:D8"/>
    <mergeCell ref="E16:F16"/>
    <mergeCell ref="G16:H16"/>
    <mergeCell ref="E17:F17"/>
    <mergeCell ref="G17:H17"/>
    <mergeCell ref="D16:D17"/>
    <mergeCell ref="I5:J5"/>
    <mergeCell ref="I17:J17"/>
    <mergeCell ref="K16:M16"/>
    <mergeCell ref="K17:M17"/>
    <mergeCell ref="A18:A19"/>
    <mergeCell ref="B18:B19"/>
    <mergeCell ref="C18:C19"/>
    <mergeCell ref="D18:D19"/>
    <mergeCell ref="I16:J16"/>
    <mergeCell ref="L18:M18"/>
    <mergeCell ref="L19:M19"/>
    <mergeCell ref="A15:A17"/>
    <mergeCell ref="B15:H15"/>
    <mergeCell ref="I15:P15"/>
    <mergeCell ref="B16:B17"/>
    <mergeCell ref="C16:C17"/>
  </mergeCells>
  <phoneticPr fontId="6" type="noConversion"/>
  <printOptions horizontalCentered="1"/>
  <pageMargins left="0.6692913385826772" right="0.6692913385826772" top="0.6692913385826772" bottom="0.6692913385826772" header="0.27559055118110237" footer="0.27559055118110237"/>
  <pageSetup paperSize="9" firstPageNumber="352" fitToWidth="2" orientation="portrait" useFirstPageNumber="1" r:id="rId1"/>
  <headerFooter alignWithMargins="0"/>
  <legacy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工作表28"/>
  <dimension ref="A1:R27"/>
  <sheetViews>
    <sheetView showGridLines="0" view="pageBreakPreview" zoomScale="80" zoomScaleNormal="120" zoomScaleSheetLayoutView="80" workbookViewId="0">
      <pane xSplit="1" ySplit="7" topLeftCell="B11" activePane="bottomRight" state="frozen"/>
      <selection pane="topRight"/>
      <selection pane="bottomLeft"/>
      <selection pane="bottomRight" activeCell="G11" sqref="G11"/>
    </sheetView>
  </sheetViews>
  <sheetFormatPr defaultRowHeight="12.75"/>
  <cols>
    <col min="1" max="1" width="13.125" style="104" customWidth="1"/>
    <col min="2" max="7" width="11.625" style="41" customWidth="1"/>
    <col min="8" max="13" width="14.625" style="41" customWidth="1"/>
    <col min="14" max="14" width="9" style="41"/>
    <col min="15" max="17" width="0" style="41" hidden="1" customWidth="1"/>
    <col min="18" max="16384" width="9" style="41"/>
  </cols>
  <sheetData>
    <row r="1" spans="1:17" s="452" customFormat="1" ht="18" customHeight="1">
      <c r="A1" s="90" t="s">
        <v>934</v>
      </c>
      <c r="B1" s="514"/>
      <c r="M1" s="105" t="s">
        <v>230</v>
      </c>
    </row>
    <row r="2" spans="1:17" s="452" customFormat="1" ht="24.95" customHeight="1">
      <c r="A2" s="879" t="s">
        <v>955</v>
      </c>
      <c r="B2" s="879"/>
      <c r="C2" s="879"/>
      <c r="D2" s="879"/>
      <c r="E2" s="879"/>
      <c r="F2" s="879"/>
      <c r="G2" s="879"/>
      <c r="H2" s="987" t="s">
        <v>348</v>
      </c>
      <c r="I2" s="988"/>
      <c r="J2" s="988"/>
      <c r="K2" s="988"/>
      <c r="L2" s="988"/>
      <c r="M2" s="988"/>
      <c r="N2" s="99"/>
      <c r="O2" s="99"/>
    </row>
    <row r="3" spans="1:17" s="452" customFormat="1" ht="15" customHeight="1" thickBot="1">
      <c r="A3" s="485"/>
      <c r="B3" s="514"/>
      <c r="E3" s="514"/>
      <c r="G3" s="105" t="s">
        <v>956</v>
      </c>
      <c r="I3" s="514"/>
      <c r="J3" s="514"/>
      <c r="M3" s="106" t="s">
        <v>349</v>
      </c>
    </row>
    <row r="4" spans="1:17" s="108" customFormat="1" ht="24.95" customHeight="1">
      <c r="A4" s="989" t="s">
        <v>453</v>
      </c>
      <c r="B4" s="990" t="s">
        <v>519</v>
      </c>
      <c r="C4" s="991"/>
      <c r="D4" s="992" t="s">
        <v>520</v>
      </c>
      <c r="E4" s="993"/>
      <c r="F4" s="992" t="s">
        <v>521</v>
      </c>
      <c r="G4" s="993"/>
      <c r="H4" s="991" t="s">
        <v>522</v>
      </c>
      <c r="I4" s="993"/>
      <c r="J4" s="991" t="s">
        <v>523</v>
      </c>
      <c r="K4" s="993"/>
      <c r="L4" s="991" t="s">
        <v>524</v>
      </c>
      <c r="M4" s="991"/>
      <c r="N4" s="107"/>
    </row>
    <row r="5" spans="1:17" s="108" customFormat="1" ht="24.95" customHeight="1">
      <c r="A5" s="985"/>
      <c r="B5" s="994" t="s">
        <v>350</v>
      </c>
      <c r="C5" s="995"/>
      <c r="D5" s="996" t="s">
        <v>351</v>
      </c>
      <c r="E5" s="997"/>
      <c r="F5" s="996" t="s">
        <v>352</v>
      </c>
      <c r="G5" s="997"/>
      <c r="H5" s="995" t="s">
        <v>353</v>
      </c>
      <c r="I5" s="997"/>
      <c r="J5" s="995" t="s">
        <v>354</v>
      </c>
      <c r="K5" s="997"/>
      <c r="L5" s="995" t="s">
        <v>355</v>
      </c>
      <c r="M5" s="995"/>
      <c r="N5" s="107"/>
    </row>
    <row r="6" spans="1:17" s="108" customFormat="1" ht="24.95" customHeight="1">
      <c r="A6" s="985" t="s">
        <v>201</v>
      </c>
      <c r="B6" s="109" t="s">
        <v>525</v>
      </c>
      <c r="C6" s="110" t="s">
        <v>526</v>
      </c>
      <c r="D6" s="110" t="s">
        <v>527</v>
      </c>
      <c r="E6" s="110" t="s">
        <v>528</v>
      </c>
      <c r="F6" s="110" t="s">
        <v>527</v>
      </c>
      <c r="G6" s="110" t="s">
        <v>528</v>
      </c>
      <c r="H6" s="111" t="s">
        <v>527</v>
      </c>
      <c r="I6" s="110" t="s">
        <v>528</v>
      </c>
      <c r="J6" s="110" t="s">
        <v>527</v>
      </c>
      <c r="K6" s="110" t="s">
        <v>528</v>
      </c>
      <c r="L6" s="110" t="s">
        <v>527</v>
      </c>
      <c r="M6" s="112" t="s">
        <v>528</v>
      </c>
      <c r="N6" s="107"/>
    </row>
    <row r="7" spans="1:17" s="108" customFormat="1" ht="39.950000000000003" customHeight="1" thickBot="1">
      <c r="A7" s="986"/>
      <c r="B7" s="113" t="s">
        <v>356</v>
      </c>
      <c r="C7" s="114" t="s">
        <v>246</v>
      </c>
      <c r="D7" s="114" t="s">
        <v>356</v>
      </c>
      <c r="E7" s="114" t="s">
        <v>263</v>
      </c>
      <c r="F7" s="114" t="s">
        <v>356</v>
      </c>
      <c r="G7" s="114" t="s">
        <v>263</v>
      </c>
      <c r="H7" s="115" t="s">
        <v>356</v>
      </c>
      <c r="I7" s="114" t="s">
        <v>263</v>
      </c>
      <c r="J7" s="114" t="s">
        <v>356</v>
      </c>
      <c r="K7" s="114" t="s">
        <v>263</v>
      </c>
      <c r="L7" s="114" t="s">
        <v>357</v>
      </c>
      <c r="M7" s="116" t="s">
        <v>263</v>
      </c>
      <c r="N7" s="107"/>
    </row>
    <row r="8" spans="1:17" s="2" customFormat="1" ht="57" customHeight="1">
      <c r="A8" s="103" t="s">
        <v>529</v>
      </c>
      <c r="B8" s="283">
        <f t="shared" ref="B8:C16" si="0">SUM(D8,F8,H8,J8,L8)</f>
        <v>16168</v>
      </c>
      <c r="C8" s="283">
        <f t="shared" si="0"/>
        <v>33691289</v>
      </c>
      <c r="D8" s="283">
        <v>708</v>
      </c>
      <c r="E8" s="284">
        <v>6958941</v>
      </c>
      <c r="F8" s="283">
        <v>0</v>
      </c>
      <c r="G8" s="283">
        <v>0</v>
      </c>
      <c r="H8" s="284">
        <v>2</v>
      </c>
      <c r="I8" s="284">
        <v>60000</v>
      </c>
      <c r="J8" s="284">
        <v>15291</v>
      </c>
      <c r="K8" s="284">
        <v>26422848</v>
      </c>
      <c r="L8" s="284">
        <v>167</v>
      </c>
      <c r="M8" s="283">
        <v>249500</v>
      </c>
      <c r="O8" s="2">
        <v>16168</v>
      </c>
      <c r="P8" s="2">
        <f t="shared" ref="P8:P16" si="1">IF(B8=O8,1)</f>
        <v>1</v>
      </c>
    </row>
    <row r="9" spans="1:17" s="2" customFormat="1" ht="57" customHeight="1">
      <c r="A9" s="103" t="s">
        <v>530</v>
      </c>
      <c r="B9" s="283">
        <f t="shared" si="0"/>
        <v>19513</v>
      </c>
      <c r="C9" s="283">
        <f t="shared" si="0"/>
        <v>40326479</v>
      </c>
      <c r="D9" s="283">
        <v>820</v>
      </c>
      <c r="E9" s="284">
        <v>8058375</v>
      </c>
      <c r="F9" s="284">
        <v>2</v>
      </c>
      <c r="G9" s="284">
        <v>7880</v>
      </c>
      <c r="H9" s="283">
        <v>0</v>
      </c>
      <c r="I9" s="283">
        <v>0</v>
      </c>
      <c r="J9" s="284">
        <v>18419</v>
      </c>
      <c r="K9" s="284">
        <v>31852224</v>
      </c>
      <c r="L9" s="284">
        <v>272</v>
      </c>
      <c r="M9" s="283">
        <v>408000</v>
      </c>
      <c r="O9" s="2">
        <v>19513</v>
      </c>
      <c r="P9" s="2">
        <f t="shared" si="1"/>
        <v>1</v>
      </c>
    </row>
    <row r="10" spans="1:17" s="2" customFormat="1" ht="57" customHeight="1">
      <c r="A10" s="103" t="s">
        <v>531</v>
      </c>
      <c r="B10" s="283">
        <f t="shared" si="0"/>
        <v>20852</v>
      </c>
      <c r="C10" s="283">
        <f t="shared" si="0"/>
        <v>42318664</v>
      </c>
      <c r="D10" s="283">
        <v>769</v>
      </c>
      <c r="E10" s="284">
        <v>7568028</v>
      </c>
      <c r="F10" s="283">
        <v>0</v>
      </c>
      <c r="G10" s="283">
        <v>0</v>
      </c>
      <c r="H10" s="284">
        <v>2</v>
      </c>
      <c r="I10" s="284">
        <v>85000</v>
      </c>
      <c r="J10" s="284">
        <v>19913</v>
      </c>
      <c r="K10" s="284">
        <v>34413636</v>
      </c>
      <c r="L10" s="284">
        <v>168</v>
      </c>
      <c r="M10" s="284">
        <v>252000</v>
      </c>
      <c r="O10" s="2">
        <v>20852</v>
      </c>
      <c r="P10" s="2">
        <f t="shared" si="1"/>
        <v>1</v>
      </c>
    </row>
    <row r="11" spans="1:17" s="2" customFormat="1" ht="57" customHeight="1">
      <c r="A11" s="103" t="s">
        <v>532</v>
      </c>
      <c r="B11" s="283">
        <f t="shared" si="0"/>
        <v>18628</v>
      </c>
      <c r="C11" s="283">
        <f t="shared" si="0"/>
        <v>40346060</v>
      </c>
      <c r="D11" s="284">
        <v>652</v>
      </c>
      <c r="E11" s="284">
        <v>6685124</v>
      </c>
      <c r="F11" s="283">
        <v>0</v>
      </c>
      <c r="G11" s="283">
        <v>0</v>
      </c>
      <c r="H11" s="283">
        <v>0</v>
      </c>
      <c r="I11" s="283">
        <v>0</v>
      </c>
      <c r="J11" s="284">
        <v>17717</v>
      </c>
      <c r="K11" s="284">
        <v>33272436</v>
      </c>
      <c r="L11" s="284">
        <v>259</v>
      </c>
      <c r="M11" s="284">
        <v>388500</v>
      </c>
      <c r="O11" s="2">
        <v>18628</v>
      </c>
      <c r="P11" s="2">
        <f t="shared" si="1"/>
        <v>1</v>
      </c>
    </row>
    <row r="12" spans="1:17" s="37" customFormat="1" ht="57" customHeight="1">
      <c r="A12" s="103" t="s">
        <v>533</v>
      </c>
      <c r="B12" s="283">
        <f t="shared" si="0"/>
        <v>15291</v>
      </c>
      <c r="C12" s="283">
        <f t="shared" si="0"/>
        <v>33000064</v>
      </c>
      <c r="D12" s="285">
        <v>510</v>
      </c>
      <c r="E12" s="285">
        <v>5227396</v>
      </c>
      <c r="F12" s="285">
        <v>0</v>
      </c>
      <c r="G12" s="285">
        <v>0</v>
      </c>
      <c r="H12" s="285">
        <v>0</v>
      </c>
      <c r="I12" s="285">
        <v>0</v>
      </c>
      <c r="J12" s="285">
        <v>14557</v>
      </c>
      <c r="K12" s="285">
        <v>27436668</v>
      </c>
      <c r="L12" s="285">
        <v>224</v>
      </c>
      <c r="M12" s="285">
        <v>336000</v>
      </c>
      <c r="O12" s="37">
        <v>15291</v>
      </c>
      <c r="P12" s="2">
        <f t="shared" si="1"/>
        <v>1</v>
      </c>
      <c r="Q12" s="38"/>
    </row>
    <row r="13" spans="1:17" s="39" customFormat="1" ht="57" customHeight="1">
      <c r="A13" s="103" t="s">
        <v>534</v>
      </c>
      <c r="B13" s="283">
        <f t="shared" si="0"/>
        <v>13850</v>
      </c>
      <c r="C13" s="283">
        <f t="shared" si="0"/>
        <v>31641189</v>
      </c>
      <c r="D13" s="286">
        <v>628</v>
      </c>
      <c r="E13" s="286">
        <v>6556494</v>
      </c>
      <c r="F13" s="286">
        <v>0</v>
      </c>
      <c r="G13" s="286">
        <v>0</v>
      </c>
      <c r="H13" s="286">
        <v>0</v>
      </c>
      <c r="I13" s="286">
        <v>0</v>
      </c>
      <c r="J13" s="286">
        <v>13013</v>
      </c>
      <c r="K13" s="286">
        <v>24771195</v>
      </c>
      <c r="L13" s="286">
        <v>209</v>
      </c>
      <c r="M13" s="286">
        <v>313500</v>
      </c>
      <c r="O13" s="39">
        <v>13850</v>
      </c>
      <c r="P13" s="2">
        <f t="shared" si="1"/>
        <v>1</v>
      </c>
      <c r="Q13" s="40"/>
    </row>
    <row r="14" spans="1:17" s="2" customFormat="1" ht="57" customHeight="1">
      <c r="A14" s="103" t="s">
        <v>535</v>
      </c>
      <c r="B14" s="283">
        <f t="shared" si="0"/>
        <v>12011</v>
      </c>
      <c r="C14" s="283">
        <f t="shared" si="0"/>
        <v>28950149</v>
      </c>
      <c r="D14" s="286">
        <v>566</v>
      </c>
      <c r="E14" s="286">
        <v>6953393</v>
      </c>
      <c r="F14" s="286">
        <v>1</v>
      </c>
      <c r="G14" s="286">
        <v>1375</v>
      </c>
      <c r="H14" s="286">
        <v>1</v>
      </c>
      <c r="I14" s="286">
        <v>50000</v>
      </c>
      <c r="J14" s="286">
        <v>11286</v>
      </c>
      <c r="K14" s="286">
        <v>21709881</v>
      </c>
      <c r="L14" s="286">
        <v>157</v>
      </c>
      <c r="M14" s="286">
        <v>235500</v>
      </c>
      <c r="O14" s="2">
        <v>12011</v>
      </c>
      <c r="P14" s="2">
        <f t="shared" si="1"/>
        <v>1</v>
      </c>
    </row>
    <row r="15" spans="1:17" s="2" customFormat="1" ht="57" customHeight="1">
      <c r="A15" s="103" t="s">
        <v>876</v>
      </c>
      <c r="B15" s="283">
        <f t="shared" si="0"/>
        <v>10261</v>
      </c>
      <c r="C15" s="283">
        <f>SUM(E15,G15,I15,K15,M15)</f>
        <v>26363367</v>
      </c>
      <c r="D15" s="283">
        <v>499</v>
      </c>
      <c r="E15" s="283">
        <v>6824916</v>
      </c>
      <c r="F15" s="80">
        <v>2</v>
      </c>
      <c r="G15" s="80">
        <v>5281</v>
      </c>
      <c r="H15" s="80">
        <v>1</v>
      </c>
      <c r="I15" s="80">
        <v>50000</v>
      </c>
      <c r="J15" s="80">
        <v>9670</v>
      </c>
      <c r="K15" s="80">
        <v>19349670</v>
      </c>
      <c r="L15" s="80">
        <v>89</v>
      </c>
      <c r="M15" s="80">
        <v>133500</v>
      </c>
      <c r="O15" s="2">
        <v>10261</v>
      </c>
      <c r="P15" s="2">
        <f t="shared" si="1"/>
        <v>1</v>
      </c>
    </row>
    <row r="16" spans="1:17" s="2" customFormat="1" ht="57" customHeight="1">
      <c r="A16" s="103" t="s">
        <v>1047</v>
      </c>
      <c r="B16" s="329">
        <f t="shared" si="0"/>
        <v>11208</v>
      </c>
      <c r="C16" s="283">
        <f>SUM(E16,G16,I16,K16,M16)</f>
        <v>29148285</v>
      </c>
      <c r="D16" s="283">
        <v>481</v>
      </c>
      <c r="E16" s="283">
        <v>6629983</v>
      </c>
      <c r="F16" s="286">
        <v>0</v>
      </c>
      <c r="G16" s="286">
        <v>0</v>
      </c>
      <c r="H16" s="283">
        <v>1</v>
      </c>
      <c r="I16" s="283">
        <v>50000</v>
      </c>
      <c r="J16" s="283">
        <v>10603</v>
      </c>
      <c r="K16" s="283">
        <v>22274802</v>
      </c>
      <c r="L16" s="283">
        <v>123</v>
      </c>
      <c r="M16" s="283">
        <v>193500</v>
      </c>
      <c r="O16" s="6">
        <v>11208</v>
      </c>
      <c r="P16" s="2">
        <f t="shared" si="1"/>
        <v>1</v>
      </c>
    </row>
    <row r="17" spans="1:18" s="2" customFormat="1" ht="57" customHeight="1" thickBot="1">
      <c r="A17" s="418" t="s">
        <v>1243</v>
      </c>
      <c r="B17" s="419">
        <f>SUM(D17,F17,H17,J17,L17)</f>
        <v>12694</v>
      </c>
      <c r="C17" s="420">
        <f>SUM(E17,G17,I17,K17,M17)</f>
        <v>34025312</v>
      </c>
      <c r="D17" s="420">
        <f>141+142+142+113</f>
        <v>538</v>
      </c>
      <c r="E17" s="420">
        <f>1925956+1942956+1928828+1485888</f>
        <v>7283628</v>
      </c>
      <c r="F17" s="421">
        <v>1</v>
      </c>
      <c r="G17" s="421">
        <v>2055</v>
      </c>
      <c r="H17" s="420">
        <f>3+1</f>
        <v>4</v>
      </c>
      <c r="I17" s="420">
        <f>105000+50000</f>
        <v>155000</v>
      </c>
      <c r="J17" s="420">
        <f>2795+3071+2946+3126</f>
        <v>11938</v>
      </c>
      <c r="K17" s="420">
        <f>6147416+6475513+6754000+6888200</f>
        <v>26265129</v>
      </c>
      <c r="L17" s="420">
        <f>61+68+43+41</f>
        <v>213</v>
      </c>
      <c r="M17" s="420">
        <f>91500+102000+64500+61500</f>
        <v>319500</v>
      </c>
      <c r="O17" s="6">
        <v>11208</v>
      </c>
      <c r="P17" s="2" t="b">
        <f t="shared" ref="P17" si="2">IF(B17=O17,1)</f>
        <v>0</v>
      </c>
    </row>
    <row r="18" spans="1:18" s="97" customFormat="1" ht="15" customHeight="1">
      <c r="A18" s="99" t="s">
        <v>937</v>
      </c>
      <c r="B18" s="117"/>
      <c r="C18" s="117"/>
      <c r="D18" s="117"/>
      <c r="E18" s="117"/>
      <c r="F18" s="117"/>
      <c r="G18" s="99"/>
      <c r="H18" s="99" t="s">
        <v>206</v>
      </c>
      <c r="I18" s="99"/>
      <c r="J18" s="99"/>
      <c r="L18" s="99"/>
      <c r="N18" s="99"/>
      <c r="O18" s="99"/>
      <c r="P18" s="99"/>
      <c r="Q18" s="99"/>
      <c r="R18" s="99"/>
    </row>
    <row r="19" spans="1:18" s="104" customFormat="1" ht="15" customHeight="1">
      <c r="A19" s="104" t="s">
        <v>957</v>
      </c>
      <c r="H19" s="104" t="s">
        <v>358</v>
      </c>
    </row>
    <row r="20" spans="1:18" s="104" customFormat="1">
      <c r="A20" s="104" t="s">
        <v>958</v>
      </c>
      <c r="H20" s="104" t="s">
        <v>1292</v>
      </c>
    </row>
    <row r="21" spans="1:18" s="104" customFormat="1"/>
    <row r="22" spans="1:18" s="104" customFormat="1"/>
    <row r="23" spans="1:18" s="104" customFormat="1"/>
    <row r="24" spans="1:18" s="104" customFormat="1"/>
    <row r="25" spans="1:18" s="104" customFormat="1"/>
    <row r="26" spans="1:18" s="104" customFormat="1"/>
    <row r="27" spans="1:18" s="104" customFormat="1"/>
  </sheetData>
  <mergeCells count="16">
    <mergeCell ref="A6:A7"/>
    <mergeCell ref="A2:G2"/>
    <mergeCell ref="H2:M2"/>
    <mergeCell ref="A4:A5"/>
    <mergeCell ref="B4:C4"/>
    <mergeCell ref="D4:E4"/>
    <mergeCell ref="F4:G4"/>
    <mergeCell ref="H4:I4"/>
    <mergeCell ref="J4:K4"/>
    <mergeCell ref="L4:M4"/>
    <mergeCell ref="B5:C5"/>
    <mergeCell ref="D5:E5"/>
    <mergeCell ref="F5:G5"/>
    <mergeCell ref="H5:I5"/>
    <mergeCell ref="J5:K5"/>
    <mergeCell ref="L5:M5"/>
  </mergeCells>
  <phoneticPr fontId="6" type="noConversion"/>
  <printOptions horizontalCentered="1"/>
  <pageMargins left="0.6692913385826772" right="0.6692913385826772" top="0.6692913385826772" bottom="0.6692913385826772" header="0.27559055118110237" footer="0.27559055118110237"/>
  <pageSetup paperSize="9" firstPageNumber="352" fitToWidth="2" orientation="portrait" useFirstPageNumber="1"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工作表39"/>
  <dimension ref="A1:AD44"/>
  <sheetViews>
    <sheetView showGridLines="0" view="pageBreakPreview" zoomScale="90" zoomScaleNormal="100" zoomScaleSheetLayoutView="90" workbookViewId="0">
      <pane xSplit="1" ySplit="6" topLeftCell="B19" activePane="bottomRight" state="frozen"/>
      <selection activeCell="U14" sqref="U14"/>
      <selection pane="topRight" activeCell="U14" sqref="U14"/>
      <selection pane="bottomLeft" activeCell="U14" sqref="U14"/>
      <selection pane="bottomRight" activeCell="P28" sqref="P28"/>
    </sheetView>
  </sheetViews>
  <sheetFormatPr defaultRowHeight="12.75"/>
  <cols>
    <col min="1" max="1" width="26" style="448" customWidth="1"/>
    <col min="2" max="2" width="10.125" style="275" customWidth="1"/>
    <col min="3" max="3" width="9.75" style="275" customWidth="1"/>
    <col min="4" max="4" width="10.625" style="275" customWidth="1"/>
    <col min="5" max="5" width="10.375" style="275" customWidth="1"/>
    <col min="6" max="6" width="10.625" style="275" customWidth="1"/>
    <col min="7" max="7" width="10.125" style="275" customWidth="1"/>
    <col min="8" max="11" width="9.75" style="275" customWidth="1"/>
    <col min="12" max="12" width="10.125" style="275" customWidth="1"/>
    <col min="13" max="15" width="9.75" style="275" customWidth="1"/>
    <col min="16" max="16" width="9.125" style="275" customWidth="1"/>
    <col min="17" max="17" width="9" style="275"/>
    <col min="18" max="19" width="0" style="275" hidden="1" customWidth="1"/>
    <col min="20" max="20" width="8.75" style="275" hidden="1" customWidth="1"/>
    <col min="21" max="21" width="0" style="275" hidden="1" customWidth="1"/>
    <col min="22" max="22" width="6.875" style="275" hidden="1" customWidth="1"/>
    <col min="23" max="30" width="0" style="275" hidden="1" customWidth="1"/>
    <col min="31" max="16384" width="9" style="275"/>
  </cols>
  <sheetData>
    <row r="1" spans="1:30" s="448" customFormat="1" ht="18" customHeight="1">
      <c r="A1" s="121" t="s">
        <v>934</v>
      </c>
      <c r="P1" s="446" t="s">
        <v>0</v>
      </c>
    </row>
    <row r="2" spans="1:30" s="448" customFormat="1" ht="24.95" customHeight="1">
      <c r="A2" s="643" t="s">
        <v>1085</v>
      </c>
      <c r="B2" s="643"/>
      <c r="C2" s="643"/>
      <c r="D2" s="643"/>
      <c r="E2" s="643"/>
      <c r="F2" s="643"/>
      <c r="G2" s="643"/>
      <c r="H2" s="643" t="s">
        <v>359</v>
      </c>
      <c r="I2" s="643"/>
      <c r="J2" s="643"/>
      <c r="K2" s="643"/>
      <c r="L2" s="643"/>
      <c r="M2" s="643"/>
      <c r="N2" s="643"/>
      <c r="O2" s="643"/>
      <c r="P2" s="643"/>
    </row>
    <row r="3" spans="1:30" s="448" customFormat="1" ht="15" customHeight="1" thickBot="1">
      <c r="A3" s="430"/>
      <c r="B3" s="430"/>
      <c r="C3" s="430"/>
      <c r="D3" s="430"/>
      <c r="E3" s="430"/>
      <c r="F3" s="430"/>
      <c r="G3" s="272" t="s">
        <v>940</v>
      </c>
      <c r="H3" s="430"/>
      <c r="I3" s="430"/>
      <c r="J3" s="430"/>
      <c r="K3" s="272"/>
      <c r="L3" s="243"/>
      <c r="M3" s="430"/>
      <c r="N3" s="430"/>
      <c r="O3" s="430"/>
      <c r="P3" s="272" t="s">
        <v>144</v>
      </c>
    </row>
    <row r="4" spans="1:30" s="448" customFormat="1" ht="18.600000000000001" customHeight="1">
      <c r="A4" s="681" t="s">
        <v>506</v>
      </c>
      <c r="B4" s="827" t="s">
        <v>951</v>
      </c>
      <c r="C4" s="827"/>
      <c r="D4" s="827"/>
      <c r="E4" s="827"/>
      <c r="F4" s="828"/>
      <c r="G4" s="274"/>
      <c r="H4" s="999" t="s">
        <v>1086</v>
      </c>
      <c r="I4" s="999"/>
      <c r="J4" s="999"/>
      <c r="K4" s="1000"/>
      <c r="L4" s="827" t="s">
        <v>952</v>
      </c>
      <c r="M4" s="827"/>
      <c r="N4" s="827"/>
      <c r="O4" s="827"/>
      <c r="P4" s="828"/>
    </row>
    <row r="5" spans="1:30" s="448" customFormat="1" ht="27" customHeight="1">
      <c r="A5" s="682"/>
      <c r="B5" s="437" t="s">
        <v>942</v>
      </c>
      <c r="C5" s="432" t="s">
        <v>943</v>
      </c>
      <c r="D5" s="432" t="s">
        <v>1121</v>
      </c>
      <c r="E5" s="432" t="s">
        <v>1302</v>
      </c>
      <c r="F5" s="432" t="s">
        <v>944</v>
      </c>
      <c r="G5" s="432" t="s">
        <v>942</v>
      </c>
      <c r="H5" s="440" t="s">
        <v>943</v>
      </c>
      <c r="I5" s="432" t="s">
        <v>1121</v>
      </c>
      <c r="J5" s="432" t="s">
        <v>1302</v>
      </c>
      <c r="K5" s="432" t="s">
        <v>944</v>
      </c>
      <c r="L5" s="440" t="s">
        <v>942</v>
      </c>
      <c r="M5" s="432" t="s">
        <v>943</v>
      </c>
      <c r="N5" s="432" t="s">
        <v>1121</v>
      </c>
      <c r="O5" s="432" t="s">
        <v>1302</v>
      </c>
      <c r="P5" s="432" t="s">
        <v>944</v>
      </c>
    </row>
    <row r="6" spans="1:30" s="447" customFormat="1" ht="37.15" customHeight="1" thickBot="1">
      <c r="A6" s="701"/>
      <c r="B6" s="267" t="s">
        <v>360</v>
      </c>
      <c r="C6" s="95" t="s">
        <v>361</v>
      </c>
      <c r="D6" s="95" t="s">
        <v>362</v>
      </c>
      <c r="E6" s="95" t="s">
        <v>363</v>
      </c>
      <c r="F6" s="268" t="s">
        <v>74</v>
      </c>
      <c r="G6" s="95" t="s">
        <v>360</v>
      </c>
      <c r="H6" s="94" t="s">
        <v>361</v>
      </c>
      <c r="I6" s="95" t="s">
        <v>362</v>
      </c>
      <c r="J6" s="95" t="s">
        <v>363</v>
      </c>
      <c r="K6" s="95" t="s">
        <v>74</v>
      </c>
      <c r="L6" s="94" t="s">
        <v>360</v>
      </c>
      <c r="M6" s="95" t="s">
        <v>361</v>
      </c>
      <c r="N6" s="95" t="s">
        <v>362</v>
      </c>
      <c r="O6" s="95" t="s">
        <v>363</v>
      </c>
      <c r="P6" s="95" t="s">
        <v>74</v>
      </c>
    </row>
    <row r="7" spans="1:30" ht="29.45" customHeight="1">
      <c r="A7" s="270" t="s">
        <v>507</v>
      </c>
      <c r="B7" s="290">
        <f>G7+L7+'11-20 續1'!B7+'11-20 續1'!G7+'11-20 續1'!L7+'11-20續2 '!B7+'11-20續2 '!G7+'11-20續2 '!L7+'11-20續3完'!B7</f>
        <v>186.09</v>
      </c>
      <c r="C7" s="290">
        <f>H7+M7+'11-20 續1'!C7+'11-20 續1'!H7+'11-20 續1'!M7+'11-20續2 '!C7+'11-20續2 '!H7+'11-20續2 '!M7+'11-20續3完'!C7</f>
        <v>37</v>
      </c>
      <c r="D7" s="290">
        <f>I7+N7+'11-20 續1'!D7+'11-20 續1'!I7+'11-20 續1'!N7+'11-20續2 '!D7+'11-20續2 '!I7+'11-20續2 '!N7+'11-20續3完'!D7</f>
        <v>28</v>
      </c>
      <c r="E7" s="290">
        <f>J7+O7+'11-20 續1'!E7+'11-20 續1'!J7+'11-20 續1'!O7+'11-20續2 '!E7+'11-20續2 '!J7+'11-20續2 '!O7+'11-20續3完'!E7</f>
        <v>289.5</v>
      </c>
      <c r="F7" s="290">
        <f>K7+P7+'11-20 續1'!F7+'11-20 續1'!K7+'11-20 續1'!P7+'11-20續2 '!F7+'11-20續2 '!K7+'11-20續2 '!P7+'11-20續3完'!F7</f>
        <v>235.49999999999997</v>
      </c>
      <c r="G7" s="290">
        <v>57.11</v>
      </c>
      <c r="H7" s="290">
        <v>30</v>
      </c>
      <c r="I7" s="290">
        <v>0</v>
      </c>
      <c r="J7" s="290">
        <v>268.5</v>
      </c>
      <c r="K7" s="290">
        <v>151.1</v>
      </c>
      <c r="L7" s="290">
        <v>18.22</v>
      </c>
      <c r="M7" s="290">
        <v>1</v>
      </c>
      <c r="N7" s="290">
        <v>0</v>
      </c>
      <c r="O7" s="290">
        <v>0</v>
      </c>
      <c r="P7" s="290">
        <v>12.2</v>
      </c>
      <c r="R7" s="287">
        <v>186.09</v>
      </c>
      <c r="S7" s="287">
        <v>37</v>
      </c>
      <c r="T7" s="287">
        <v>28</v>
      </c>
      <c r="U7" s="287">
        <v>289.5</v>
      </c>
      <c r="V7" s="287">
        <v>235.49999999999997</v>
      </c>
      <c r="W7" s="287"/>
      <c r="Y7" s="275">
        <f t="shared" ref="Y7:Y14" si="0">IF(B7=R7,1)</f>
        <v>1</v>
      </c>
      <c r="Z7" s="275">
        <f t="shared" ref="Z7:Z15" si="1">IF(C7=S7,1)</f>
        <v>1</v>
      </c>
      <c r="AA7" s="275">
        <f t="shared" ref="AA7:AA15" si="2">IF(D7=T7,1)</f>
        <v>1</v>
      </c>
      <c r="AB7" s="275">
        <f t="shared" ref="AB7:AB15" si="3">IF(E7=U7,1)</f>
        <v>1</v>
      </c>
      <c r="AC7" s="275">
        <f t="shared" ref="AC7:AC15" si="4">IF(F7=V7,1)</f>
        <v>1</v>
      </c>
    </row>
    <row r="8" spans="1:30" ht="29.45" customHeight="1">
      <c r="A8" s="270" t="s">
        <v>508</v>
      </c>
      <c r="B8" s="290">
        <f>G8+L8+'11-20 續1'!B8+'11-20 續1'!G8+'11-20 續1'!L8+'11-20續2 '!B8+'11-20續2 '!G8+'11-20續2 '!L8+'11-20續3完'!B8</f>
        <v>182.62999999999997</v>
      </c>
      <c r="C8" s="290">
        <f>H8+M8+'11-20 續1'!C8+'11-20 續1'!H8+'11-20 續1'!M8+'11-20續2 '!C8+'11-20續2 '!H8+'11-20續2 '!M8+'11-20續3完'!C8</f>
        <v>117</v>
      </c>
      <c r="D8" s="290">
        <f>I8+N8+'11-20 續1'!D8+'11-20 續1'!I8+'11-20 續1'!N8+'11-20續2 '!D8+'11-20續2 '!I8+'11-20續2 '!N8+'11-20續3完'!D8</f>
        <v>6</v>
      </c>
      <c r="E8" s="290">
        <f>J8+O8+'11-20 續1'!E8+'11-20 續1'!J8+'11-20 續1'!O8+'11-20續2 '!E8+'11-20續2 '!J8+'11-20續2 '!O8+'11-20續3完'!E8</f>
        <v>252</v>
      </c>
      <c r="F8" s="290">
        <f>K8+P8+'11-20 續1'!F8+'11-20 續1'!K8+'11-20 續1'!P8+'11-20續2 '!F8+'11-20續2 '!K8+'11-20續2 '!P8+'11-20續3完'!F8</f>
        <v>322.00000000000006</v>
      </c>
      <c r="G8" s="290">
        <v>52.86</v>
      </c>
      <c r="H8" s="290">
        <v>17</v>
      </c>
      <c r="I8" s="290">
        <v>0</v>
      </c>
      <c r="J8" s="290">
        <v>252</v>
      </c>
      <c r="K8" s="290">
        <v>202.6</v>
      </c>
      <c r="L8" s="290">
        <v>14.35</v>
      </c>
      <c r="M8" s="290">
        <v>2</v>
      </c>
      <c r="N8" s="290">
        <v>0</v>
      </c>
      <c r="O8" s="290">
        <v>0</v>
      </c>
      <c r="P8" s="290">
        <v>16.3</v>
      </c>
      <c r="R8" s="287">
        <v>182.62999999999997</v>
      </c>
      <c r="S8" s="287">
        <v>117</v>
      </c>
      <c r="T8" s="287">
        <v>6</v>
      </c>
      <c r="U8" s="287">
        <v>252</v>
      </c>
      <c r="V8" s="287">
        <v>322.00000000000006</v>
      </c>
      <c r="W8" s="287"/>
      <c r="Y8" s="275">
        <f t="shared" si="0"/>
        <v>1</v>
      </c>
      <c r="Z8" s="275">
        <f t="shared" si="1"/>
        <v>1</v>
      </c>
      <c r="AA8" s="275">
        <f t="shared" si="2"/>
        <v>1</v>
      </c>
      <c r="AB8" s="275">
        <f t="shared" si="3"/>
        <v>1</v>
      </c>
      <c r="AC8" s="275">
        <f t="shared" si="4"/>
        <v>1</v>
      </c>
    </row>
    <row r="9" spans="1:30" ht="29.45" customHeight="1">
      <c r="A9" s="270" t="s">
        <v>509</v>
      </c>
      <c r="B9" s="290">
        <f>G9+L9+'11-20 續1'!B9+'11-20 續1'!G9+'11-20 續1'!L9+'11-20續2 '!B9+'11-20續2 '!G9+'11-20續2 '!L9+'11-20續3完'!B9</f>
        <v>244.54</v>
      </c>
      <c r="C9" s="290">
        <f>H9+M9+'11-20 續1'!C9+'11-20 續1'!H9+'11-20 續1'!M9+'11-20續2 '!C9+'11-20續2 '!H9+'11-20續2 '!M9+'11-20續3完'!C9</f>
        <v>147</v>
      </c>
      <c r="D9" s="290">
        <f>I9+N9+'11-20 續1'!D9+'11-20 續1'!I9+'11-20 續1'!N9+'11-20續2 '!D9+'11-20續2 '!I9+'11-20續2 '!N9+'11-20續3完'!D9</f>
        <v>20</v>
      </c>
      <c r="E9" s="290">
        <f>J9+O9+'11-20 續1'!E9+'11-20 續1'!J9+'11-20 續1'!O9+'11-20續2 '!E9+'11-20續2 '!J9+'11-20續2 '!O9+'11-20續3完'!E9</f>
        <v>337</v>
      </c>
      <c r="F9" s="290">
        <f>K9+P9+'11-20 續1'!F9+'11-20 續1'!K9+'11-20 續1'!P9+'11-20續2 '!F9+'11-20續2 '!K9+'11-20續2 '!P9+'11-20續3完'!F9</f>
        <v>437.83</v>
      </c>
      <c r="G9" s="290">
        <v>61.38</v>
      </c>
      <c r="H9" s="290">
        <v>25</v>
      </c>
      <c r="I9" s="290">
        <v>4</v>
      </c>
      <c r="J9" s="290">
        <v>335</v>
      </c>
      <c r="K9" s="290">
        <v>210.4</v>
      </c>
      <c r="L9" s="290">
        <v>23.96</v>
      </c>
      <c r="M9" s="290">
        <v>20</v>
      </c>
      <c r="N9" s="290">
        <v>4</v>
      </c>
      <c r="O9" s="290">
        <v>2</v>
      </c>
      <c r="P9" s="290">
        <v>33.6</v>
      </c>
      <c r="R9" s="287">
        <v>244.54</v>
      </c>
      <c r="S9" s="287">
        <v>147</v>
      </c>
      <c r="T9" s="287">
        <v>20</v>
      </c>
      <c r="U9" s="287">
        <v>337</v>
      </c>
      <c r="V9" s="287">
        <v>437.83</v>
      </c>
      <c r="W9" s="287"/>
      <c r="Y9" s="275">
        <f t="shared" si="0"/>
        <v>1</v>
      </c>
      <c r="Z9" s="275">
        <f t="shared" si="1"/>
        <v>1</v>
      </c>
      <c r="AA9" s="275">
        <f t="shared" si="2"/>
        <v>1</v>
      </c>
      <c r="AB9" s="275">
        <f t="shared" si="3"/>
        <v>1</v>
      </c>
      <c r="AC9" s="275">
        <f t="shared" si="4"/>
        <v>1</v>
      </c>
    </row>
    <row r="10" spans="1:30" ht="29.45" customHeight="1">
      <c r="A10" s="270" t="s">
        <v>510</v>
      </c>
      <c r="B10" s="290">
        <f>G10+L10+'11-20 續1'!B10+'11-20 續1'!G10+'11-20 續1'!L10+'11-20續2 '!B10+'11-20續2 '!G10+'11-20續2 '!L10+'11-20續3完'!B10</f>
        <v>213.49</v>
      </c>
      <c r="C10" s="290">
        <f>H10+M10+'11-20 續1'!C10+'11-20 續1'!H10+'11-20 續1'!M10+'11-20續2 '!C10+'11-20續2 '!H10+'11-20續2 '!M10+'11-20續3完'!C10</f>
        <v>137</v>
      </c>
      <c r="D10" s="290">
        <f>I10+N10+'11-20 續1'!D10+'11-20 續1'!I10+'11-20 續1'!N10+'11-20續2 '!D10+'11-20續2 '!I10+'11-20續2 '!N10+'11-20續3完'!D10</f>
        <v>46</v>
      </c>
      <c r="E10" s="290">
        <f>J10+O10+'11-20 續1'!E10+'11-20 續1'!J10+'11-20 續1'!O10+'11-20續2 '!E10+'11-20續2 '!J10+'11-20續2 '!O10+'11-20續3完'!E10</f>
        <v>3</v>
      </c>
      <c r="F10" s="290">
        <f>K10+P10+'11-20 續1'!F10+'11-20 續1'!K10+'11-20 續1'!P10+'11-20續2 '!F10+'11-20續2 '!K10+'11-20續2 '!P10+'11-20續3完'!F10</f>
        <v>149.5</v>
      </c>
      <c r="G10" s="290">
        <v>36.42</v>
      </c>
      <c r="H10" s="290">
        <v>40.1</v>
      </c>
      <c r="I10" s="290">
        <v>20.149999999999999</v>
      </c>
      <c r="J10" s="290">
        <v>0</v>
      </c>
      <c r="K10" s="290">
        <v>8.5399999999999991</v>
      </c>
      <c r="L10" s="290">
        <v>20.18</v>
      </c>
      <c r="M10" s="290">
        <v>15.12</v>
      </c>
      <c r="N10" s="290">
        <v>3.3</v>
      </c>
      <c r="O10" s="290">
        <v>0</v>
      </c>
      <c r="P10" s="290">
        <v>18.239999999999998</v>
      </c>
      <c r="R10" s="287">
        <v>213.49</v>
      </c>
      <c r="S10" s="287">
        <v>137</v>
      </c>
      <c r="T10" s="287">
        <v>46</v>
      </c>
      <c r="U10" s="287">
        <v>3</v>
      </c>
      <c r="V10" s="287">
        <v>149.5</v>
      </c>
      <c r="W10" s="287"/>
      <c r="Y10" s="275">
        <f t="shared" si="0"/>
        <v>1</v>
      </c>
      <c r="Z10" s="275">
        <f t="shared" si="1"/>
        <v>1</v>
      </c>
      <c r="AA10" s="275">
        <f t="shared" si="2"/>
        <v>1</v>
      </c>
      <c r="AB10" s="275">
        <f t="shared" si="3"/>
        <v>1</v>
      </c>
      <c r="AC10" s="275">
        <f t="shared" si="4"/>
        <v>1</v>
      </c>
    </row>
    <row r="11" spans="1:30" ht="29.45" customHeight="1">
      <c r="A11" s="270" t="s">
        <v>511</v>
      </c>
      <c r="B11" s="290">
        <f>G11+L11+'11-20 續1'!B11+'11-20 續1'!G11+'11-20 續1'!L11+'11-20續2 '!B11+'11-20續2 '!G11+'11-20續2 '!L11+'11-20續3完'!B11</f>
        <v>248.23999999999995</v>
      </c>
      <c r="C11" s="290">
        <f>H11+M11+'11-20 續1'!C11+'11-20 續1'!H11+'11-20 續1'!M11+'11-20續2 '!C11+'11-20續2 '!H11+'11-20續2 '!M11+'11-20續3完'!C11</f>
        <v>131.99</v>
      </c>
      <c r="D11" s="290">
        <f>I11+N11+'11-20 續1'!D11+'11-20 續1'!I11+'11-20 續1'!N11+'11-20續2 '!D11+'11-20續2 '!I11+'11-20續2 '!N11+'11-20續3完'!D11</f>
        <v>55.959999999999994</v>
      </c>
      <c r="E11" s="290">
        <f>J11+O11+'11-20 續1'!E11+'11-20 續1'!J11+'11-20 續1'!O11+'11-20續2 '!E11+'11-20續2 '!J11+'11-20續2 '!O11+'11-20續3完'!E11</f>
        <v>3</v>
      </c>
      <c r="F11" s="290">
        <f>K11+P11+'11-20 續1'!F11+'11-20 續1'!K11+'11-20 續1'!P11+'11-20續2 '!F11+'11-20續2 '!K11+'11-20續2 '!P11+'11-20續3完'!F11</f>
        <v>219.99</v>
      </c>
      <c r="G11" s="290">
        <v>41.89</v>
      </c>
      <c r="H11" s="290">
        <v>45.3</v>
      </c>
      <c r="I11" s="290">
        <v>20.64</v>
      </c>
      <c r="J11" s="290">
        <v>0</v>
      </c>
      <c r="K11" s="290">
        <v>41.25</v>
      </c>
      <c r="L11" s="290">
        <v>22.2</v>
      </c>
      <c r="M11" s="290">
        <v>12.25</v>
      </c>
      <c r="N11" s="290">
        <v>5.74</v>
      </c>
      <c r="O11" s="290">
        <v>0</v>
      </c>
      <c r="P11" s="290">
        <v>22.55</v>
      </c>
      <c r="R11" s="287">
        <v>248.23999999999995</v>
      </c>
      <c r="S11" s="287">
        <v>131.99</v>
      </c>
      <c r="T11" s="287">
        <v>55.959999999999994</v>
      </c>
      <c r="U11" s="287">
        <v>3</v>
      </c>
      <c r="V11" s="287">
        <v>219.99</v>
      </c>
      <c r="W11" s="287"/>
      <c r="Y11" s="275">
        <f t="shared" si="0"/>
        <v>1</v>
      </c>
      <c r="Z11" s="275">
        <f t="shared" si="1"/>
        <v>1</v>
      </c>
      <c r="AA11" s="275">
        <f t="shared" si="2"/>
        <v>1</v>
      </c>
      <c r="AB11" s="275">
        <f t="shared" si="3"/>
        <v>1</v>
      </c>
      <c r="AC11" s="275">
        <f t="shared" si="4"/>
        <v>1</v>
      </c>
    </row>
    <row r="12" spans="1:30" s="276" customFormat="1" ht="29.45" customHeight="1">
      <c r="A12" s="270" t="s">
        <v>512</v>
      </c>
      <c r="B12" s="290">
        <f>G12+L12+'11-20 續1'!B12+'11-20 續1'!G12+'11-20 續1'!L12+'11-20續2 '!B12+'11-20續2 '!G12+'11-20續2 '!L12+'11-20續3完'!B12</f>
        <v>326.64000000000004</v>
      </c>
      <c r="C12" s="290">
        <f>H12+M12+'11-20 續1'!C12+'11-20 續1'!H12+'11-20 續1'!M12+'11-20續2 '!C12+'11-20續2 '!H12+'11-20續2 '!M12+'11-20續3完'!C12</f>
        <v>145.80000000000001</v>
      </c>
      <c r="D12" s="290">
        <f>I12+N12+'11-20 續1'!D12+'11-20 續1'!I12+'11-20 續1'!N12+'11-20續2 '!D12+'11-20續2 '!I12+'11-20續2 '!N12+'11-20續3完'!D12</f>
        <v>68</v>
      </c>
      <c r="E12" s="290">
        <f>J12+O12+'11-20 續1'!E12+'11-20 續1'!J12+'11-20 續1'!O12+'11-20續2 '!E12+'11-20續2 '!J12+'11-20續2 '!O12+'11-20續3完'!E12</f>
        <v>6</v>
      </c>
      <c r="F12" s="290">
        <f>K12+P12+'11-20 續1'!F12+'11-20 續1'!K12+'11-20 續1'!P12+'11-20續2 '!F12+'11-20續2 '!K12+'11-20續2 '!P12+'11-20續3完'!F12</f>
        <v>227.29999999999998</v>
      </c>
      <c r="G12" s="290">
        <v>27.71</v>
      </c>
      <c r="H12" s="290">
        <v>42.84</v>
      </c>
      <c r="I12" s="290">
        <v>17.059999999999999</v>
      </c>
      <c r="J12" s="290">
        <v>0</v>
      </c>
      <c r="K12" s="290">
        <v>17.010000000000002</v>
      </c>
      <c r="L12" s="290">
        <v>26.89</v>
      </c>
      <c r="M12" s="290">
        <v>12</v>
      </c>
      <c r="N12" s="290">
        <v>9.6999999999999993</v>
      </c>
      <c r="O12" s="290">
        <v>0</v>
      </c>
      <c r="P12" s="290">
        <v>21.27</v>
      </c>
      <c r="R12" s="288">
        <v>326.64000000000004</v>
      </c>
      <c r="S12" s="288">
        <v>145.80000000000001</v>
      </c>
      <c r="T12" s="288">
        <v>68</v>
      </c>
      <c r="U12" s="288">
        <v>6</v>
      </c>
      <c r="V12" s="288">
        <v>227.29999999999998</v>
      </c>
      <c r="W12" s="288"/>
      <c r="Y12" s="275">
        <f t="shared" si="0"/>
        <v>1</v>
      </c>
      <c r="Z12" s="275">
        <f t="shared" si="1"/>
        <v>1</v>
      </c>
      <c r="AA12" s="275">
        <f t="shared" si="2"/>
        <v>1</v>
      </c>
      <c r="AB12" s="275">
        <f t="shared" si="3"/>
        <v>1</v>
      </c>
      <c r="AC12" s="275">
        <f t="shared" si="4"/>
        <v>1</v>
      </c>
      <c r="AD12" s="275"/>
    </row>
    <row r="13" spans="1:30" ht="29.45" customHeight="1">
      <c r="A13" s="270" t="s">
        <v>513</v>
      </c>
      <c r="B13" s="290">
        <f>G13+L13+'11-20 續1'!B13+'11-20 續1'!G13+'11-20 續1'!L13+'11-20續2 '!B13+'11-20續2 '!G13+'11-20續2 '!L13+'11-20續3完'!B13+'11-20續3完'!G13+'11-20續3完'!L13</f>
        <v>400.05</v>
      </c>
      <c r="C13" s="290">
        <f>H13+M13+'11-20 續1'!C13+'11-20 續1'!H13+'11-20 續1'!M13+'11-20續2 '!C13+'11-20續2 '!H13+'11-20續2 '!M13+'11-20續3完'!C13+'11-20續3完'!H13+'11-20續3完'!M13</f>
        <v>400</v>
      </c>
      <c r="D13" s="290">
        <f>I13+N13+'11-20 續1'!D13+'11-20 續1'!I13+'11-20 續1'!N13+'11-20續2 '!D13+'11-20續2 '!I13+'11-20續2 '!N13+'11-20續3完'!D13+'11-20續3完'!I13+'11-20續3完'!N13</f>
        <v>106</v>
      </c>
      <c r="E13" s="290">
        <f>J13+O13+'11-20 續1'!E13+'11-20 續1'!J13+'11-20 續1'!O13+'11-20續2 '!E13+'11-20續2 '!J13+'11-20續2 '!O13+'11-20續3完'!E13+'11-20續3完'!J13+'11-20續3完'!O13</f>
        <v>808.5</v>
      </c>
      <c r="F13" s="290">
        <f>K13+P13+'11-20 續1'!F13+'11-20 續1'!K13+'11-20 續1'!P13+'11-20續2 '!F13+'11-20續2 '!K13+'11-20續2 '!P13+'11-20續3完'!F13+'11-20續3完'!K13+'11-20續3完'!P13</f>
        <v>349.5</v>
      </c>
      <c r="G13" s="290">
        <v>47.03</v>
      </c>
      <c r="H13" s="290">
        <v>96</v>
      </c>
      <c r="I13" s="290">
        <v>8</v>
      </c>
      <c r="J13" s="290">
        <v>102</v>
      </c>
      <c r="K13" s="290">
        <v>25.5</v>
      </c>
      <c r="L13" s="290">
        <v>17.82</v>
      </c>
      <c r="M13" s="290">
        <v>11</v>
      </c>
      <c r="N13" s="290">
        <v>9</v>
      </c>
      <c r="O13" s="290">
        <v>1</v>
      </c>
      <c r="P13" s="290">
        <v>19.760000000000002</v>
      </c>
      <c r="R13" s="287">
        <v>400.05</v>
      </c>
      <c r="S13" s="287">
        <v>400</v>
      </c>
      <c r="T13" s="287">
        <v>106</v>
      </c>
      <c r="U13" s="287">
        <v>808.5</v>
      </c>
      <c r="V13" s="287">
        <v>349.5</v>
      </c>
      <c r="W13" s="287"/>
      <c r="Y13" s="275">
        <f t="shared" si="0"/>
        <v>1</v>
      </c>
      <c r="Z13" s="275">
        <f t="shared" si="1"/>
        <v>1</v>
      </c>
      <c r="AA13" s="275">
        <f t="shared" si="2"/>
        <v>1</v>
      </c>
      <c r="AB13" s="275">
        <f t="shared" si="3"/>
        <v>1</v>
      </c>
      <c r="AC13" s="275">
        <f t="shared" si="4"/>
        <v>1</v>
      </c>
    </row>
    <row r="14" spans="1:30" ht="29.45" customHeight="1">
      <c r="A14" s="270" t="s">
        <v>877</v>
      </c>
      <c r="B14" s="290">
        <f>G14+L14+'11-20 續1'!B14+'11-20 續1'!G14+'11-20 續1'!L14+'11-20續2 '!B14+'11-20續2 '!G14+'11-20續2 '!L14+'11-20續3完'!B14+'11-20續3完'!G14+'11-20續3完'!L14</f>
        <v>383</v>
      </c>
      <c r="C14" s="290">
        <f>H14+M14+'11-20 續1'!C14+'11-20 續1'!H14+'11-20 續1'!M14+'11-20續2 '!C14+'11-20續2 '!H14+'11-20續2 '!M14+'11-20續3完'!C14+'11-20續3完'!H14+'11-20續3完'!M14</f>
        <v>465</v>
      </c>
      <c r="D14" s="290">
        <f>I14+N14+'11-20 續1'!D14+'11-20 續1'!I14+'11-20 續1'!N14+'11-20續2 '!D14+'11-20續2 '!I14+'11-20續2 '!N14+'11-20續3完'!D14+'11-20續3完'!I14+'11-20續3完'!N14</f>
        <v>121</v>
      </c>
      <c r="E14" s="290">
        <f>J14+O14+'11-20 續1'!E14+'11-20 續1'!J14+'11-20 續1'!O14+'11-20續2 '!E14+'11-20續2 '!J14+'11-20續2 '!O14+'11-20續3完'!E14+'11-20續3完'!J14+'11-20續3完'!O14</f>
        <v>1435</v>
      </c>
      <c r="F14" s="290">
        <f>K14+P14+'11-20 續1'!F14+'11-20 續1'!K14+'11-20 續1'!P14+'11-20續2 '!F14+'11-20續2 '!K14+'11-20續2 '!P14+'11-20續3完'!F14+'11-20續3完'!K14+'11-20續3完'!P14</f>
        <v>375</v>
      </c>
      <c r="G14" s="290">
        <v>45.08</v>
      </c>
      <c r="H14" s="290">
        <v>68.099999999999994</v>
      </c>
      <c r="I14" s="290">
        <v>11</v>
      </c>
      <c r="J14" s="290">
        <v>139</v>
      </c>
      <c r="K14" s="290">
        <v>37.58</v>
      </c>
      <c r="L14" s="290">
        <v>27.51</v>
      </c>
      <c r="M14" s="290">
        <v>9.1</v>
      </c>
      <c r="N14" s="290">
        <v>12</v>
      </c>
      <c r="O14" s="290">
        <v>0</v>
      </c>
      <c r="P14" s="290">
        <v>13.329999999999998</v>
      </c>
      <c r="R14" s="287">
        <v>383</v>
      </c>
      <c r="S14" s="287">
        <v>465</v>
      </c>
      <c r="T14" s="287">
        <v>121</v>
      </c>
      <c r="U14" s="287">
        <v>1435</v>
      </c>
      <c r="V14" s="287">
        <v>375</v>
      </c>
      <c r="W14" s="287"/>
      <c r="Y14" s="275">
        <f t="shared" si="0"/>
        <v>1</v>
      </c>
      <c r="Z14" s="275">
        <f t="shared" si="1"/>
        <v>1</v>
      </c>
      <c r="AA14" s="275">
        <f t="shared" si="2"/>
        <v>1</v>
      </c>
      <c r="AB14" s="275">
        <f t="shared" si="3"/>
        <v>1</v>
      </c>
      <c r="AC14" s="275">
        <f t="shared" si="4"/>
        <v>1</v>
      </c>
    </row>
    <row r="15" spans="1:30" ht="29.45" customHeight="1">
      <c r="A15" s="270" t="s">
        <v>1048</v>
      </c>
      <c r="B15" s="290">
        <f>G15+L15+'11-20 續1'!B15+'11-20 續1'!G15+'11-20 續1'!L15+'11-20續2 '!B15+'11-20續2 '!G15+'11-20續2 '!L15+'11-20續3完'!B15+'11-20續3完'!G15+'11-20續3完'!L15</f>
        <v>385.00000000000006</v>
      </c>
      <c r="C15" s="290">
        <f>H15+M15+'11-20 續1'!C15+'11-20 續1'!H15+'11-20 續1'!M15+'11-20續2 '!C15+'11-20續2 '!H15+'11-20續2 '!M15+'11-20續3完'!C15+'11-20續3完'!H15+'11-20續3完'!M15</f>
        <v>518</v>
      </c>
      <c r="D15" s="290">
        <f>I15+N15+'11-20 續1'!D15+'11-20 續1'!I15+'11-20 續1'!N15+'11-20續2 '!D15+'11-20續2 '!I15+'11-20續2 '!N15+'11-20續3完'!D15+'11-20續3完'!I15+'11-20續3完'!N15</f>
        <v>164</v>
      </c>
      <c r="E15" s="290">
        <f>J15+O15+'11-20 續1'!E15+'11-20 續1'!J15+'11-20 續1'!O15+'11-20續2 '!E15+'11-20續2 '!J15+'11-20續2 '!O15+'11-20續3完'!E15+'11-20續3完'!J15+'11-20續3完'!O15</f>
        <v>1831</v>
      </c>
      <c r="F15" s="290">
        <f>K15+P15+'11-20 續1'!F15+'11-20 續1'!K15+'11-20 續1'!P15+'11-20續2 '!F15+'11-20續2 '!K15+'11-20續2 '!P15+'11-20續3完'!F15+'11-20續3完'!K15+'11-20續3完'!P15</f>
        <v>297</v>
      </c>
      <c r="G15" s="290">
        <v>39.01</v>
      </c>
      <c r="H15" s="290">
        <v>66</v>
      </c>
      <c r="I15" s="290">
        <v>21</v>
      </c>
      <c r="J15" s="290">
        <v>137</v>
      </c>
      <c r="K15" s="290">
        <v>17.380000000000003</v>
      </c>
      <c r="L15" s="290">
        <v>42.36</v>
      </c>
      <c r="M15" s="290">
        <v>5</v>
      </c>
      <c r="N15" s="290">
        <v>14</v>
      </c>
      <c r="O15" s="290">
        <v>0</v>
      </c>
      <c r="P15" s="290">
        <v>27.53</v>
      </c>
      <c r="R15" s="287">
        <f>G15+L15+'11-20 續1'!B15+'11-20 續1'!G15+'11-20 續1'!L15+'11-20續2 '!B15+'11-20續2 '!G15+'11-20續2 '!L15+'11-20續3完'!B15+'11-20續3完'!G15+'11-20續3完'!L15</f>
        <v>385.00000000000006</v>
      </c>
      <c r="S15" s="287">
        <f>H15+M15+'11-20 續1'!C15+'11-20 續1'!H15+'11-20 續1'!M15+'11-20續2 '!C15+'11-20續2 '!H15+'11-20續2 '!M15+'11-20續3完'!C15+'11-20續3完'!H15+'11-20續3完'!M15</f>
        <v>518</v>
      </c>
      <c r="T15" s="287">
        <f>I15+N15+'11-20 續1'!D15+'11-20 續1'!I15+'11-20 續1'!N15+'11-20續2 '!D15+'11-20續2 '!I15+'11-20續2 '!N15+'11-20續3完'!D15+'11-20續3完'!I15+'11-20續3完'!N15</f>
        <v>164</v>
      </c>
      <c r="U15" s="287">
        <f>J15+O15+'11-20 續1'!E15+'11-20 續1'!J15+'11-20 續1'!O15+'11-20續2 '!E15+'11-20續2 '!J15+'11-20續2 '!O15+'11-20續3完'!E15+'11-20續3完'!J15+'11-20續3完'!O15</f>
        <v>1831</v>
      </c>
      <c r="V15" s="287">
        <f>K15+P15+'11-20 續1'!F15+'11-20 續1'!K15+'11-20 續1'!P15+'11-20續2 '!F15+'11-20續2 '!K15+'11-20續2 '!P15+'11-20續3完'!F15+'11-20續3完'!K15+'11-20續3完'!P15</f>
        <v>297</v>
      </c>
      <c r="W15" s="287"/>
      <c r="Y15" s="275">
        <f>IF(B15=R15,1)</f>
        <v>1</v>
      </c>
      <c r="Z15" s="275">
        <f t="shared" si="1"/>
        <v>1</v>
      </c>
      <c r="AA15" s="275">
        <f t="shared" si="2"/>
        <v>1</v>
      </c>
      <c r="AB15" s="275">
        <f t="shared" si="3"/>
        <v>1</v>
      </c>
      <c r="AC15" s="275">
        <f t="shared" si="4"/>
        <v>1</v>
      </c>
    </row>
    <row r="16" spans="1:30" s="330" customFormat="1" ht="29.45" customHeight="1">
      <c r="A16" s="270" t="s">
        <v>1244</v>
      </c>
      <c r="B16" s="290">
        <f>B17+B25+B28</f>
        <v>437</v>
      </c>
      <c r="C16" s="290">
        <f>C17+C25+C28</f>
        <v>452</v>
      </c>
      <c r="D16" s="290">
        <f>D17+D25+D28</f>
        <v>191</v>
      </c>
      <c r="E16" s="290">
        <f t="shared" ref="E16:P16" si="5">E17+E25+E28</f>
        <v>1397</v>
      </c>
      <c r="F16" s="290">
        <f t="shared" si="5"/>
        <v>344</v>
      </c>
      <c r="G16" s="290">
        <f t="shared" si="5"/>
        <v>62.28</v>
      </c>
      <c r="H16" s="290">
        <f t="shared" si="5"/>
        <v>80</v>
      </c>
      <c r="I16" s="290">
        <f t="shared" si="5"/>
        <v>29</v>
      </c>
      <c r="J16" s="290">
        <f t="shared" si="5"/>
        <v>186</v>
      </c>
      <c r="K16" s="290">
        <f t="shared" si="5"/>
        <v>25.55</v>
      </c>
      <c r="L16" s="290">
        <f t="shared" si="5"/>
        <v>50.480000000000004</v>
      </c>
      <c r="M16" s="290">
        <f t="shared" si="5"/>
        <v>5</v>
      </c>
      <c r="N16" s="290">
        <f t="shared" si="5"/>
        <v>16</v>
      </c>
      <c r="O16" s="290">
        <f t="shared" si="5"/>
        <v>0</v>
      </c>
      <c r="P16" s="290">
        <f t="shared" si="5"/>
        <v>18.149999999999999</v>
      </c>
      <c r="R16" s="331">
        <f>G16+L16+'11-20 續1'!B17+'11-20 續1'!G17+'11-20 續1'!L17+'11-20續2 '!B17+'11-20續2 '!G17+'11-20續2 '!L17+'11-20續3完'!B17+'11-20續3完'!G17+'11-20續3完'!L17</f>
        <v>355</v>
      </c>
      <c r="S16" s="331">
        <f>H16+M16+'11-20 續1'!C17+'11-20 續1'!H17+'11-20 續1'!M17+'11-20續2 '!C17+'11-20續2 '!H17+'11-20續2 '!M17+'11-20續3完'!C17+'11-20續3完'!H17+'11-20續3完'!M17</f>
        <v>260</v>
      </c>
      <c r="T16" s="331">
        <f>I16+N16+'11-20 續1'!D17+'11-20 續1'!I17+'11-20 續1'!N17+'11-20續2 '!D17+'11-20續2 '!I17+'11-20續2 '!N17+'11-20續3完'!D17+'11-20續3完'!I17+'11-20續3完'!N17</f>
        <v>155</v>
      </c>
      <c r="U16" s="331">
        <f>J16+O16+'11-20 續1'!E17+'11-20 續1'!J17+'11-20 續1'!O17+'11-20續2 '!E17+'11-20續2 '!J17+'11-20續2 '!O17+'11-20續3完'!E17+'11-20續3完'!J17+'11-20續3完'!O17</f>
        <v>186</v>
      </c>
      <c r="V16" s="331">
        <f>K16+P16+'11-20 續1'!F17+'11-20 續1'!K17+'11-20 續1'!P17+'11-20續2 '!F17+'11-20續2 '!K17+'11-20續2 '!P17+'11-20續3完'!F17+'11-20續3完'!K17+'11-20續3完'!P17</f>
        <v>295</v>
      </c>
      <c r="W16" s="331"/>
      <c r="Y16" s="330" t="b">
        <f>IF(B16=R16,1)</f>
        <v>0</v>
      </c>
      <c r="Z16" s="330" t="b">
        <f t="shared" ref="Z16" si="6">IF(C16=S16,1)</f>
        <v>0</v>
      </c>
      <c r="AA16" s="330" t="b">
        <f t="shared" ref="AA16" si="7">IF(D16=T16,1)</f>
        <v>0</v>
      </c>
      <c r="AB16" s="330" t="b">
        <f t="shared" ref="AB16" si="8">IF(E16=U16,1)</f>
        <v>0</v>
      </c>
      <c r="AC16" s="330" t="b">
        <f t="shared" ref="AC16" si="9">IF(F16=V16,1)</f>
        <v>0</v>
      </c>
    </row>
    <row r="17" spans="1:16" s="276" customFormat="1" ht="30" customHeight="1">
      <c r="A17" s="270" t="s">
        <v>518</v>
      </c>
      <c r="B17" s="355">
        <f>G17+L17+'11-20 續1'!B17+'11-20 續1'!G17+'11-20 續1'!L17+'11-20續2 '!B17+'11-20續2 '!G17+'11-20續2 '!L17+'11-20續3完'!B17+'11-20續3完'!G17+'11-20續3完'!L17</f>
        <v>303</v>
      </c>
      <c r="C17" s="355">
        <f>H17+M17+'11-20 續1'!C17+'11-20 續1'!H17+'11-20 續1'!M17+'11-20續2 '!C17+'11-20續2 '!H17+'11-20續2 '!M17+'11-20續3完'!C17+'11-20續3完'!H17+'11-20續3完'!M17</f>
        <v>182</v>
      </c>
      <c r="D17" s="355">
        <f>I17+N17+'11-20 續1'!D17+'11-20 續1'!I17+'11-20 續1'!N17+'11-20續2 '!D17+'11-20續2 '!I17+'11-20續2 '!N17+'11-20續3完'!D17+'11-20續3完'!I17+'11-20續3完'!N17</f>
        <v>131</v>
      </c>
      <c r="E17" s="355">
        <f>J17+O17+'11-20 續1'!E17+'11-20 續1'!J17+'11-20 續1'!O17+'11-20續2 '!E17+'11-20續2 '!J17+'11-20續2 '!O17+'11-20續3完'!E17+'11-20續3完'!J17+'11-20續3完'!O17</f>
        <v>0</v>
      </c>
      <c r="F17" s="355">
        <f>K17+P17+'11-20 續1'!F17+'11-20 續1'!K17+'11-20 續1'!P17+'11-20續2 '!F17+'11-20續2 '!K17+'11-20續2 '!P17+'11-20續3完'!F17+'11-20續3完'!K17+'11-20續3完'!P17</f>
        <v>288</v>
      </c>
      <c r="G17" s="355">
        <f t="shared" ref="G17:P17" si="10">SUM(G19:G23)</f>
        <v>21.28</v>
      </c>
      <c r="H17" s="355">
        <f t="shared" si="10"/>
        <v>6</v>
      </c>
      <c r="I17" s="355">
        <f t="shared" si="10"/>
        <v>5</v>
      </c>
      <c r="J17" s="355">
        <f t="shared" si="10"/>
        <v>0</v>
      </c>
      <c r="K17" s="355">
        <f t="shared" si="10"/>
        <v>18.55</v>
      </c>
      <c r="L17" s="355">
        <f t="shared" si="10"/>
        <v>39.480000000000004</v>
      </c>
      <c r="M17" s="355">
        <f t="shared" si="10"/>
        <v>1</v>
      </c>
      <c r="N17" s="355">
        <f t="shared" si="10"/>
        <v>16</v>
      </c>
      <c r="O17" s="355">
        <f t="shared" si="10"/>
        <v>0</v>
      </c>
      <c r="P17" s="355">
        <f t="shared" si="10"/>
        <v>18.149999999999999</v>
      </c>
    </row>
    <row r="18" spans="1:16" s="277" customFormat="1" ht="12" customHeight="1">
      <c r="A18" s="356" t="s">
        <v>427</v>
      </c>
      <c r="B18" s="355"/>
      <c r="C18" s="355"/>
      <c r="D18" s="355"/>
      <c r="E18" s="355"/>
      <c r="F18" s="355"/>
      <c r="G18" s="357"/>
      <c r="H18" s="357"/>
      <c r="I18" s="357"/>
      <c r="J18" s="357"/>
      <c r="K18" s="357"/>
      <c r="L18" s="357"/>
      <c r="M18" s="357"/>
      <c r="N18" s="357"/>
      <c r="O18" s="357"/>
      <c r="P18" s="357"/>
    </row>
    <row r="19" spans="1:16" ht="30" customHeight="1">
      <c r="A19" s="270" t="s">
        <v>515</v>
      </c>
      <c r="B19" s="355">
        <f>G19+L19+'11-20 續1'!B19+'11-20 續1'!G19+'11-20 續1'!L19+'11-20續2 '!B19+'11-20續2 '!G19+'11-20續2 '!L19+'11-20續3完'!B19+'11-20續3完'!G19+'11-20續3完'!L19</f>
        <v>127</v>
      </c>
      <c r="C19" s="355">
        <f>H19+M19+'11-20 續1'!C19+'11-20 續1'!H19+'11-20 續1'!M19+'11-20續2 '!C19+'11-20續2 '!H19+'11-20續2 '!M19+'11-20續3完'!C19+'11-20續3完'!H19+'11-20續3完'!M19</f>
        <v>112</v>
      </c>
      <c r="D19" s="355">
        <f>I19+N19+'11-20 續1'!D19+'11-20 續1'!I19+'11-20 續1'!N19+'11-20續2 '!D19+'11-20續2 '!I19+'11-20續2 '!N19+'11-20續3完'!D19+'11-20續3完'!I19+'11-20續3完'!N19</f>
        <v>89</v>
      </c>
      <c r="E19" s="355">
        <f>J19+O19+'11-20 續1'!E19+'11-20 續1'!J19+'11-20 續1'!O19+'11-20續2 '!E19+'11-20續2 '!J19+'11-20續2 '!O19+'11-20續3完'!E19+'11-20續3完'!J19+'11-20續3完'!O19</f>
        <v>0</v>
      </c>
      <c r="F19" s="355">
        <f>K19+P19+'11-20 續1'!F19+'11-20 續1'!K19+'11-20 續1'!P19+'11-20續2 '!F19+'11-20續2 '!K19+'11-20續2 '!P19+'11-20續3完'!F19+'11-20續3完'!K19+'11-20續3完'!P19</f>
        <v>89</v>
      </c>
      <c r="G19" s="355">
        <v>8</v>
      </c>
      <c r="H19" s="355">
        <v>6</v>
      </c>
      <c r="I19" s="355">
        <v>5</v>
      </c>
      <c r="J19" s="355">
        <v>0</v>
      </c>
      <c r="K19" s="355">
        <v>4</v>
      </c>
      <c r="L19" s="355">
        <v>22</v>
      </c>
      <c r="M19" s="355">
        <v>1</v>
      </c>
      <c r="N19" s="355">
        <v>16</v>
      </c>
      <c r="O19" s="355">
        <v>0</v>
      </c>
      <c r="P19" s="355">
        <v>1</v>
      </c>
    </row>
    <row r="20" spans="1:16" ht="12" customHeight="1">
      <c r="A20" s="356" t="s">
        <v>432</v>
      </c>
      <c r="B20" s="355"/>
      <c r="C20" s="355"/>
      <c r="D20" s="355"/>
      <c r="E20" s="355"/>
      <c r="F20" s="355"/>
      <c r="G20" s="355"/>
      <c r="H20" s="516"/>
      <c r="I20" s="516"/>
      <c r="J20" s="516"/>
      <c r="K20" s="516"/>
      <c r="L20" s="516"/>
      <c r="M20" s="516"/>
      <c r="N20" s="516"/>
      <c r="O20" s="355"/>
      <c r="P20" s="516"/>
    </row>
    <row r="21" spans="1:16" ht="30" customHeight="1">
      <c r="A21" s="270" t="s">
        <v>516</v>
      </c>
      <c r="B21" s="355">
        <f>G21+L21+'11-20 續1'!B21+'11-20 續1'!G21+'11-20 續1'!L21+'11-20續2 '!B21+'11-20續2 '!G21+'11-20續2 '!L21+'11-20續3完'!B21+'11-20續3完'!G21+'11-20續3完'!L21</f>
        <v>166.00000000000003</v>
      </c>
      <c r="C21" s="355">
        <f>H21+M21+'11-20 續1'!C21+'11-20 續1'!H21+'11-20 續1'!M21+'11-20續2 '!C21+'11-20續2 '!H21+'11-20續2 '!M21+'11-20續3完'!C21+'11-20續3完'!H21+'11-20續3完'!M21</f>
        <v>0</v>
      </c>
      <c r="D21" s="355">
        <f>I21+N21+'11-20 續1'!D21+'11-20 續1'!I21+'11-20 續1'!N21+'11-20續2 '!D21+'11-20續2 '!I21+'11-20續2 '!N21+'11-20續3完'!D21+'11-20續3完'!I21+'11-20續3完'!N21</f>
        <v>0</v>
      </c>
      <c r="E21" s="355">
        <f>J21+O21+'11-20 續1'!E21+'11-20 續1'!J21+'11-20 續1'!O21+'11-20續2 '!E21+'11-20續2 '!J21+'11-20續2 '!O21+'11-20續3完'!E21+'11-20續3完'!J21+'11-20續3完'!O21</f>
        <v>0</v>
      </c>
      <c r="F21" s="355">
        <f>K21+P21+'11-20 續1'!F21+'11-20 續1'!K21+'11-20 續1'!P21+'11-20續2 '!F21+'11-20續2 '!K21+'11-20續2 '!P21+'11-20續3完'!F21+'11-20續3完'!K21+'11-20續3完'!P21</f>
        <v>188</v>
      </c>
      <c r="G21" s="355">
        <v>13.28</v>
      </c>
      <c r="H21" s="355">
        <v>0</v>
      </c>
      <c r="I21" s="355">
        <v>0</v>
      </c>
      <c r="J21" s="355">
        <v>0</v>
      </c>
      <c r="K21" s="355">
        <v>14.55</v>
      </c>
      <c r="L21" s="355">
        <v>17.48</v>
      </c>
      <c r="M21" s="355">
        <v>0</v>
      </c>
      <c r="N21" s="355">
        <v>0</v>
      </c>
      <c r="O21" s="355">
        <v>0</v>
      </c>
      <c r="P21" s="355">
        <v>17.149999999999999</v>
      </c>
    </row>
    <row r="22" spans="1:16" ht="12" customHeight="1">
      <c r="A22" s="356" t="s">
        <v>428</v>
      </c>
      <c r="B22" s="355"/>
      <c r="C22" s="355"/>
      <c r="D22" s="355"/>
      <c r="E22" s="355"/>
      <c r="F22" s="355"/>
      <c r="G22" s="355"/>
      <c r="H22" s="358"/>
      <c r="I22" s="358"/>
      <c r="J22" s="358"/>
      <c r="K22" s="358"/>
      <c r="L22" s="358"/>
      <c r="M22" s="355"/>
      <c r="N22" s="355"/>
      <c r="O22" s="355"/>
      <c r="P22" s="358"/>
    </row>
    <row r="23" spans="1:16" s="278" customFormat="1" ht="30" customHeight="1">
      <c r="A23" s="270" t="s">
        <v>1083</v>
      </c>
      <c r="B23" s="355">
        <f>G23+L23+'11-20 續1'!B23+'11-20 續1'!G23+'11-20 續1'!L23+'11-20續2 '!B23+'11-20續2 '!G23+'11-20續2 '!L23+'11-20續3完'!B23+'11-20續3完'!G23+'11-20續3完'!L23</f>
        <v>10</v>
      </c>
      <c r="C23" s="355">
        <f>H23+M23+'11-20 續1'!C23+'11-20 續1'!H23+'11-20 續1'!M23+'11-20續2 '!C23+'11-20續2 '!H23+'11-20續2 '!M23+'11-20續3完'!C23+'11-20續3完'!H23+'11-20續3完'!M23</f>
        <v>70</v>
      </c>
      <c r="D23" s="355">
        <f>I23+N23+'11-20 續1'!D23+'11-20 續1'!I23+'11-20 續1'!N23+'11-20續2 '!D23+'11-20續2 '!I23+'11-20續2 '!N23+'11-20續3完'!D23+'11-20續3完'!I23+'11-20續3完'!N23</f>
        <v>42</v>
      </c>
      <c r="E23" s="355">
        <f>J23+O23+'11-20 續1'!E23+'11-20 續1'!J23+'11-20 續1'!O23+'11-20續2 '!E23+'11-20續2 '!J23+'11-20續2 '!O23+'11-20續3完'!E23+'11-20續3完'!J23+'11-20續3完'!O23</f>
        <v>0</v>
      </c>
      <c r="F23" s="355">
        <f>K23+P23+'11-20 續1'!F23+'11-20 續1'!K23+'11-20 續1'!P23+'11-20續2 '!F23+'11-20續2 '!K23+'11-20續2 '!P23+'11-20續3完'!F23+'11-20續3完'!K23+'11-20續3完'!P23</f>
        <v>11</v>
      </c>
      <c r="G23" s="355">
        <v>0</v>
      </c>
      <c r="H23" s="355">
        <v>0</v>
      </c>
      <c r="I23" s="355">
        <v>0</v>
      </c>
      <c r="J23" s="355">
        <v>0</v>
      </c>
      <c r="K23" s="355">
        <v>0</v>
      </c>
      <c r="L23" s="355">
        <v>0</v>
      </c>
      <c r="M23" s="355">
        <v>0</v>
      </c>
      <c r="N23" s="355">
        <v>0</v>
      </c>
      <c r="O23" s="355">
        <v>0</v>
      </c>
      <c r="P23" s="355">
        <v>0</v>
      </c>
    </row>
    <row r="24" spans="1:16" s="278" customFormat="1" ht="12" customHeight="1">
      <c r="A24" s="356" t="s">
        <v>429</v>
      </c>
      <c r="B24" s="355"/>
      <c r="C24" s="355"/>
      <c r="D24" s="355"/>
      <c r="E24" s="355"/>
      <c r="F24" s="355"/>
      <c r="G24" s="355"/>
      <c r="H24" s="359"/>
      <c r="I24" s="359"/>
      <c r="J24" s="359"/>
      <c r="K24" s="355"/>
      <c r="L24" s="359"/>
      <c r="M24" s="359"/>
      <c r="N24" s="359"/>
      <c r="O24" s="355"/>
      <c r="P24" s="359"/>
    </row>
    <row r="25" spans="1:16" ht="30" customHeight="1">
      <c r="A25" s="270" t="s">
        <v>517</v>
      </c>
      <c r="B25" s="355">
        <f>G25+L25+'11-20 續1'!B25+'11-20 續1'!G25+'11-20 續1'!L25+'11-20續2 '!B25+'11-20續2 '!G25+'11-20續2 '!L25+'11-20續3完'!B25+'11-20續3完'!G25+'11-20續3完'!L25</f>
        <v>44</v>
      </c>
      <c r="C25" s="355">
        <f>H25+M25+'11-20 續1'!C25+'11-20 續1'!H25+'11-20 續1'!M25+'11-20續2 '!C25+'11-20續2 '!H25+'11-20續2 '!M25+'11-20續3完'!C25+'11-20續3完'!H25+'11-20續3完'!M25</f>
        <v>21</v>
      </c>
      <c r="D25" s="355">
        <f>I25+N25+'11-20 續1'!D25+'11-20 續1'!I25+'11-20 續1'!N25+'11-20續2 '!D25+'11-20續2 '!I25+'11-20續2 '!N25+'11-20續3完'!D25+'11-20續3完'!I25+'11-20續3完'!N25</f>
        <v>2</v>
      </c>
      <c r="E25" s="355">
        <f>J25+O25+'11-20 續1'!E25+'11-20 續1'!J25+'11-20 續1'!O25+'11-20續2 '!E25+'11-20續2 '!J25+'11-20續2 '!O25+'11-20續3完'!E25+'11-20續3完'!J25+'11-20續3完'!O25</f>
        <v>178</v>
      </c>
      <c r="F25" s="355">
        <f>K25+P25+'11-20 續1'!F25+'11-20 續1'!K25+'11-20 續1'!P25+'11-20續2 '!F25+'11-20續2 '!K25+'11-20續2 '!P25+'11-20續3完'!F25+'11-20續3完'!K25+'11-20續3完'!P25</f>
        <v>15</v>
      </c>
      <c r="G25" s="355">
        <v>36</v>
      </c>
      <c r="H25" s="355">
        <v>9</v>
      </c>
      <c r="I25" s="355">
        <v>0</v>
      </c>
      <c r="J25" s="355">
        <v>111</v>
      </c>
      <c r="K25" s="355">
        <v>7</v>
      </c>
      <c r="L25" s="355">
        <v>3</v>
      </c>
      <c r="M25" s="355">
        <v>1</v>
      </c>
      <c r="N25" s="355">
        <v>0</v>
      </c>
      <c r="O25" s="355">
        <v>0</v>
      </c>
      <c r="P25" s="355">
        <v>0</v>
      </c>
    </row>
    <row r="26" spans="1:16" s="279" customFormat="1" ht="12" customHeight="1">
      <c r="A26" s="356" t="s">
        <v>430</v>
      </c>
      <c r="B26" s="355"/>
      <c r="C26" s="355"/>
      <c r="D26" s="355"/>
      <c r="E26" s="355"/>
      <c r="F26" s="355"/>
      <c r="G26" s="355"/>
      <c r="H26" s="355"/>
      <c r="I26" s="355"/>
      <c r="J26" s="355"/>
      <c r="K26" s="355"/>
      <c r="L26" s="355"/>
      <c r="M26" s="355"/>
      <c r="N26" s="355"/>
      <c r="O26" s="355"/>
      <c r="P26" s="355"/>
    </row>
    <row r="27" spans="1:16" s="279" customFormat="1" ht="12" customHeight="1">
      <c r="A27" s="356" t="s">
        <v>431</v>
      </c>
      <c r="B27" s="355"/>
      <c r="C27" s="355"/>
      <c r="D27" s="355"/>
      <c r="E27" s="355"/>
      <c r="F27" s="355"/>
      <c r="G27" s="355"/>
      <c r="H27" s="355"/>
      <c r="I27" s="355"/>
      <c r="J27" s="355"/>
      <c r="K27" s="355"/>
      <c r="L27" s="355"/>
      <c r="M27" s="355"/>
      <c r="N27" s="355"/>
      <c r="O27" s="355"/>
      <c r="P27" s="355"/>
    </row>
    <row r="28" spans="1:16" ht="30" customHeight="1">
      <c r="A28" s="270" t="s">
        <v>1245</v>
      </c>
      <c r="B28" s="355">
        <f>G28+L28+'11-20 續1'!B28+'11-20 續1'!G28+'11-20 續1'!L28+'11-20續2 '!B28+'11-20續2 '!G28+'11-20續2 '!L28+'11-20續3完'!B28+'11-20續3完'!G28+'11-20續3完'!L28</f>
        <v>90</v>
      </c>
      <c r="C28" s="355">
        <f>H28+M28+'11-20 續1'!C28+'11-20 續1'!H28+'11-20 續1'!M28+'11-20續2 '!C28+'11-20續2 '!H28+'11-20續2 '!M28+'11-20續3完'!C28+'11-20續3完'!H28+'11-20續3完'!M28</f>
        <v>249</v>
      </c>
      <c r="D28" s="355">
        <f>I28+N28+'11-20 續1'!D28+'11-20 續1'!I28+'11-20 續1'!N28+'11-20續2 '!D28+'11-20續2 '!I28+'11-20續2 '!N28+'11-20續3完'!D28+'11-20續3完'!I28+'11-20續3完'!N28</f>
        <v>58</v>
      </c>
      <c r="E28" s="355">
        <f>J28+O28+'11-20 續1'!E28+'11-20 續1'!J28+'11-20 續1'!O28+'11-20續2 '!E28+'11-20續2 '!J28+'11-20續2 '!O28+'11-20續3完'!E28+'11-20續3完'!J28+'11-20續3完'!O28</f>
        <v>1219</v>
      </c>
      <c r="F28" s="355">
        <f>K28+P28+'11-20 續1'!F28+'11-20 續1'!K28+'11-20 續1'!P28+'11-20續2 '!F28+'11-20續2 '!K28+'11-20續2 '!P28+'11-20續3完'!F28+'11-20續3完'!K28+'11-20續3完'!P28</f>
        <v>41</v>
      </c>
      <c r="G28" s="355">
        <v>5</v>
      </c>
      <c r="H28" s="355">
        <v>65</v>
      </c>
      <c r="I28" s="355">
        <v>24</v>
      </c>
      <c r="J28" s="355">
        <v>75</v>
      </c>
      <c r="K28" s="355">
        <v>0</v>
      </c>
      <c r="L28" s="355">
        <v>8</v>
      </c>
      <c r="M28" s="355">
        <v>3</v>
      </c>
      <c r="N28" s="355">
        <v>0</v>
      </c>
      <c r="O28" s="355">
        <v>0</v>
      </c>
      <c r="P28" s="355">
        <v>0</v>
      </c>
    </row>
    <row r="29" spans="1:16" ht="12" customHeight="1">
      <c r="A29" s="270" t="s">
        <v>1077</v>
      </c>
      <c r="B29" s="355"/>
      <c r="C29" s="290"/>
      <c r="D29" s="290"/>
      <c r="E29" s="290"/>
      <c r="F29" s="290"/>
      <c r="G29" s="290"/>
      <c r="H29" s="290"/>
      <c r="I29" s="290"/>
      <c r="J29" s="290"/>
      <c r="K29" s="290"/>
      <c r="L29" s="290"/>
      <c r="M29" s="290"/>
      <c r="N29" s="290"/>
      <c r="O29" s="290"/>
      <c r="P29" s="290"/>
    </row>
    <row r="30" spans="1:16" ht="14.25" customHeight="1" thickBot="1">
      <c r="A30" s="360" t="s">
        <v>1049</v>
      </c>
      <c r="B30" s="361"/>
      <c r="C30" s="341"/>
      <c r="D30" s="341"/>
      <c r="E30" s="341"/>
      <c r="F30" s="341"/>
      <c r="G30" s="341"/>
      <c r="H30" s="341"/>
      <c r="I30" s="341"/>
      <c r="J30" s="341"/>
      <c r="K30" s="341"/>
      <c r="L30" s="341"/>
      <c r="M30" s="341"/>
      <c r="N30" s="341"/>
      <c r="O30" s="341"/>
      <c r="P30" s="341"/>
    </row>
    <row r="31" spans="1:16" s="448" customFormat="1" ht="15" customHeight="1">
      <c r="A31" s="98" t="s">
        <v>937</v>
      </c>
      <c r="B31" s="260"/>
      <c r="C31" s="260"/>
      <c r="D31" s="260"/>
      <c r="E31" s="260"/>
      <c r="F31" s="260"/>
      <c r="G31" s="260"/>
      <c r="H31" s="124" t="s">
        <v>114</v>
      </c>
      <c r="I31" s="260"/>
      <c r="J31" s="260"/>
      <c r="K31" s="260"/>
      <c r="M31" s="260"/>
      <c r="P31" s="260"/>
    </row>
    <row r="32" spans="1:16" s="448" customFormat="1" ht="15" customHeight="1">
      <c r="A32" s="98" t="s">
        <v>953</v>
      </c>
      <c r="B32" s="98"/>
      <c r="C32" s="98"/>
      <c r="D32" s="98"/>
      <c r="E32" s="98"/>
      <c r="F32" s="98"/>
      <c r="G32" s="98"/>
      <c r="H32" s="102" t="s">
        <v>364</v>
      </c>
      <c r="I32" s="98"/>
      <c r="J32" s="98"/>
      <c r="K32" s="98"/>
    </row>
    <row r="33" spans="1:16" s="448" customFormat="1" ht="15" customHeight="1">
      <c r="A33" s="98" t="s">
        <v>1300</v>
      </c>
      <c r="H33" s="102" t="s">
        <v>365</v>
      </c>
    </row>
    <row r="34" spans="1:16" s="448" customFormat="1" ht="15" customHeight="1">
      <c r="A34" s="102"/>
      <c r="H34" s="102" t="s">
        <v>1301</v>
      </c>
    </row>
    <row r="35" spans="1:16" s="448" customFormat="1" ht="15" customHeight="1">
      <c r="A35" s="98" t="s">
        <v>954</v>
      </c>
      <c r="H35" s="102" t="s">
        <v>1092</v>
      </c>
    </row>
    <row r="36" spans="1:16" s="435" customFormat="1" ht="16.7" customHeight="1">
      <c r="A36" s="448"/>
      <c r="B36" s="448"/>
      <c r="C36" s="448"/>
      <c r="D36" s="448"/>
      <c r="E36" s="448"/>
      <c r="F36" s="448"/>
      <c r="G36" s="448"/>
      <c r="H36" s="998"/>
      <c r="I36" s="998"/>
      <c r="J36" s="998"/>
      <c r="K36" s="998"/>
      <c r="L36" s="998"/>
      <c r="M36" s="998"/>
      <c r="N36" s="998"/>
      <c r="O36" s="998"/>
      <c r="P36" s="998"/>
    </row>
    <row r="37" spans="1:16" s="448" customFormat="1" ht="16.7" customHeight="1">
      <c r="A37" s="449"/>
      <c r="B37" s="260"/>
      <c r="C37" s="260"/>
      <c r="D37" s="260"/>
      <c r="E37" s="260"/>
      <c r="F37" s="260"/>
      <c r="G37" s="260"/>
      <c r="H37" s="260"/>
      <c r="I37" s="260"/>
      <c r="J37" s="260"/>
      <c r="K37" s="260"/>
      <c r="L37" s="260"/>
      <c r="M37" s="260"/>
      <c r="N37" s="260"/>
      <c r="O37" s="260"/>
      <c r="P37" s="260"/>
    </row>
    <row r="38" spans="1:16" s="448" customFormat="1" ht="15" customHeight="1"/>
    <row r="39" spans="1:16" s="448" customFormat="1" ht="14.1" customHeight="1"/>
    <row r="40" spans="1:16" s="448" customFormat="1" ht="14.1" customHeight="1"/>
    <row r="41" spans="1:16" s="448" customFormat="1" ht="14.1" customHeight="1"/>
    <row r="42" spans="1:16" s="448" customFormat="1" ht="14.1" customHeight="1"/>
    <row r="43" spans="1:16" s="448" customFormat="1" ht="26.1" customHeight="1"/>
    <row r="44" spans="1:16" s="448" customFormat="1">
      <c r="H44" s="102"/>
    </row>
  </sheetData>
  <mergeCells count="7">
    <mergeCell ref="H36:P36"/>
    <mergeCell ref="A2:G2"/>
    <mergeCell ref="H2:P2"/>
    <mergeCell ref="A4:A6"/>
    <mergeCell ref="B4:F4"/>
    <mergeCell ref="H4:K4"/>
    <mergeCell ref="L4:P4"/>
  </mergeCells>
  <phoneticPr fontId="6" type="noConversion"/>
  <printOptions horizontalCentered="1"/>
  <pageMargins left="0.6692913385826772" right="0.6692913385826772" top="0.6692913385826772" bottom="0.6692913385826772" header="0.27559055118110237" footer="0.27559055118110237"/>
  <pageSetup paperSize="9" firstPageNumber="352" orientation="portrait" useFirstPageNumber="1" r:id="rId1"/>
  <headerFooter alignWithMargins="0"/>
  <colBreaks count="1" manualBreakCount="1">
    <brk id="7" max="1048575" man="1"/>
  </colBreak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工作表40"/>
  <dimension ref="A1:P41"/>
  <sheetViews>
    <sheetView showGridLines="0" view="pageBreakPreview" zoomScale="90" zoomScaleNormal="76" zoomScaleSheetLayoutView="90" workbookViewId="0">
      <pane xSplit="1" ySplit="6" topLeftCell="B12" activePane="bottomRight" state="frozen"/>
      <selection activeCell="U14" sqref="U14"/>
      <selection pane="topRight" activeCell="U14" sqref="U14"/>
      <selection pane="bottomLeft" activeCell="U14" sqref="U14"/>
      <selection pane="bottomRight" activeCell="O28" sqref="O28"/>
    </sheetView>
  </sheetViews>
  <sheetFormatPr defaultRowHeight="12.75"/>
  <cols>
    <col min="1" max="1" width="26.125" style="448" customWidth="1"/>
    <col min="2" max="7" width="10.125" style="31" customWidth="1"/>
    <col min="8" max="11" width="9.625" style="31" customWidth="1"/>
    <col min="12" max="12" width="9.875" style="31" customWidth="1"/>
    <col min="13" max="16" width="9.625" style="31" customWidth="1"/>
    <col min="17" max="23" width="9" style="31"/>
    <col min="24" max="24" width="9.75" style="31" customWidth="1"/>
    <col min="25" max="25" width="8.75" style="31" customWidth="1"/>
    <col min="26" max="16384" width="9" style="31"/>
  </cols>
  <sheetData>
    <row r="1" spans="1:16" s="448" customFormat="1" ht="18" customHeight="1">
      <c r="A1" s="121" t="s">
        <v>934</v>
      </c>
      <c r="P1" s="446" t="s">
        <v>878</v>
      </c>
    </row>
    <row r="2" spans="1:16" s="448" customFormat="1" ht="24.95" customHeight="1">
      <c r="A2" s="643" t="s">
        <v>948</v>
      </c>
      <c r="B2" s="643"/>
      <c r="C2" s="643"/>
      <c r="D2" s="643"/>
      <c r="E2" s="643"/>
      <c r="F2" s="643"/>
      <c r="G2" s="643"/>
      <c r="H2" s="643" t="s">
        <v>879</v>
      </c>
      <c r="I2" s="643"/>
      <c r="J2" s="643"/>
      <c r="K2" s="643"/>
      <c r="L2" s="643"/>
      <c r="M2" s="643"/>
      <c r="N2" s="643"/>
      <c r="O2" s="643"/>
      <c r="P2" s="643"/>
    </row>
    <row r="3" spans="1:16" s="448" customFormat="1" ht="15" customHeight="1" thickBot="1">
      <c r="A3" s="435"/>
      <c r="B3" s="435"/>
      <c r="C3" s="435"/>
      <c r="D3" s="435"/>
      <c r="E3" s="435"/>
      <c r="F3" s="435"/>
      <c r="G3" s="260" t="s">
        <v>940</v>
      </c>
      <c r="H3" s="435"/>
      <c r="I3" s="435"/>
      <c r="J3" s="435"/>
      <c r="K3" s="260"/>
      <c r="L3" s="429"/>
      <c r="M3" s="435"/>
      <c r="N3" s="435"/>
      <c r="O3" s="435"/>
      <c r="P3" s="260" t="s">
        <v>880</v>
      </c>
    </row>
    <row r="4" spans="1:16" s="448" customFormat="1" ht="18.600000000000001" customHeight="1">
      <c r="A4" s="681" t="s">
        <v>506</v>
      </c>
      <c r="B4" s="826" t="s">
        <v>949</v>
      </c>
      <c r="C4" s="827"/>
      <c r="D4" s="827"/>
      <c r="E4" s="827"/>
      <c r="F4" s="828"/>
      <c r="G4" s="852" t="s">
        <v>950</v>
      </c>
      <c r="H4" s="853"/>
      <c r="I4" s="853"/>
      <c r="J4" s="853"/>
      <c r="K4" s="1001"/>
      <c r="L4" s="853" t="s">
        <v>1082</v>
      </c>
      <c r="M4" s="853"/>
      <c r="N4" s="853"/>
      <c r="O4" s="853"/>
      <c r="P4" s="1001"/>
    </row>
    <row r="5" spans="1:16" s="448" customFormat="1" ht="27" customHeight="1">
      <c r="A5" s="682"/>
      <c r="B5" s="437" t="s">
        <v>942</v>
      </c>
      <c r="C5" s="432" t="s">
        <v>943</v>
      </c>
      <c r="D5" s="432" t="s">
        <v>1121</v>
      </c>
      <c r="E5" s="432" t="s">
        <v>1302</v>
      </c>
      <c r="F5" s="432" t="s">
        <v>944</v>
      </c>
      <c r="G5" s="432" t="s">
        <v>942</v>
      </c>
      <c r="H5" s="440" t="s">
        <v>943</v>
      </c>
      <c r="I5" s="432" t="s">
        <v>1121</v>
      </c>
      <c r="J5" s="432" t="s">
        <v>1302</v>
      </c>
      <c r="K5" s="432" t="s">
        <v>944</v>
      </c>
      <c r="L5" s="440" t="s">
        <v>942</v>
      </c>
      <c r="M5" s="432" t="s">
        <v>943</v>
      </c>
      <c r="N5" s="432" t="s">
        <v>1121</v>
      </c>
      <c r="O5" s="432" t="s">
        <v>1302</v>
      </c>
      <c r="P5" s="432" t="s">
        <v>944</v>
      </c>
    </row>
    <row r="6" spans="1:16" s="447" customFormat="1" ht="39.950000000000003" customHeight="1" thickBot="1">
      <c r="A6" s="701"/>
      <c r="B6" s="267" t="s">
        <v>881</v>
      </c>
      <c r="C6" s="95" t="s">
        <v>361</v>
      </c>
      <c r="D6" s="95" t="s">
        <v>882</v>
      </c>
      <c r="E6" s="95" t="s">
        <v>883</v>
      </c>
      <c r="F6" s="95" t="s">
        <v>74</v>
      </c>
      <c r="G6" s="95" t="s">
        <v>881</v>
      </c>
      <c r="H6" s="94" t="s">
        <v>361</v>
      </c>
      <c r="I6" s="95" t="s">
        <v>882</v>
      </c>
      <c r="J6" s="95" t="s">
        <v>883</v>
      </c>
      <c r="K6" s="95" t="s">
        <v>74</v>
      </c>
      <c r="L6" s="94" t="s">
        <v>881</v>
      </c>
      <c r="M6" s="95" t="s">
        <v>361</v>
      </c>
      <c r="N6" s="95" t="s">
        <v>882</v>
      </c>
      <c r="O6" s="95" t="s">
        <v>883</v>
      </c>
      <c r="P6" s="95" t="s">
        <v>74</v>
      </c>
    </row>
    <row r="7" spans="1:16" ht="33.6" customHeight="1">
      <c r="A7" s="270" t="s">
        <v>507</v>
      </c>
      <c r="B7" s="290">
        <v>29.11</v>
      </c>
      <c r="C7" s="290">
        <v>2</v>
      </c>
      <c r="D7" s="290">
        <v>0</v>
      </c>
      <c r="E7" s="290">
        <v>17</v>
      </c>
      <c r="F7" s="290">
        <v>23.1</v>
      </c>
      <c r="G7" s="290">
        <v>25.99</v>
      </c>
      <c r="H7" s="290">
        <v>1</v>
      </c>
      <c r="I7" s="290">
        <v>0</v>
      </c>
      <c r="J7" s="290">
        <v>0</v>
      </c>
      <c r="K7" s="290">
        <v>9.6</v>
      </c>
      <c r="L7" s="290">
        <v>16.61</v>
      </c>
      <c r="M7" s="290">
        <v>0</v>
      </c>
      <c r="N7" s="290">
        <v>0</v>
      </c>
      <c r="O7" s="290">
        <v>0</v>
      </c>
      <c r="P7" s="290">
        <v>5.5</v>
      </c>
    </row>
    <row r="8" spans="1:16" ht="33.6" customHeight="1">
      <c r="A8" s="270" t="s">
        <v>508</v>
      </c>
      <c r="B8" s="290">
        <v>24.99</v>
      </c>
      <c r="C8" s="290">
        <v>8</v>
      </c>
      <c r="D8" s="290">
        <v>0</v>
      </c>
      <c r="E8" s="290">
        <v>0</v>
      </c>
      <c r="F8" s="290">
        <v>24.8</v>
      </c>
      <c r="G8" s="290">
        <v>26.57</v>
      </c>
      <c r="H8" s="290">
        <v>3</v>
      </c>
      <c r="I8" s="290">
        <v>0</v>
      </c>
      <c r="J8" s="290">
        <v>0</v>
      </c>
      <c r="K8" s="290">
        <v>18</v>
      </c>
      <c r="L8" s="290">
        <v>22.98</v>
      </c>
      <c r="M8" s="290">
        <v>0</v>
      </c>
      <c r="N8" s="290">
        <v>0</v>
      </c>
      <c r="O8" s="290">
        <v>0</v>
      </c>
      <c r="P8" s="290">
        <v>9.1999999999999993</v>
      </c>
    </row>
    <row r="9" spans="1:16" ht="33.6" customHeight="1">
      <c r="A9" s="270" t="s">
        <v>509</v>
      </c>
      <c r="B9" s="290">
        <v>34.47</v>
      </c>
      <c r="C9" s="290">
        <v>15</v>
      </c>
      <c r="D9" s="290">
        <v>4</v>
      </c>
      <c r="E9" s="290">
        <v>0</v>
      </c>
      <c r="F9" s="290">
        <v>39</v>
      </c>
      <c r="G9" s="290">
        <v>29.04</v>
      </c>
      <c r="H9" s="290">
        <v>12</v>
      </c>
      <c r="I9" s="290">
        <v>1</v>
      </c>
      <c r="J9" s="290">
        <v>0</v>
      </c>
      <c r="K9" s="290">
        <v>31.8</v>
      </c>
      <c r="L9" s="290">
        <v>25.54</v>
      </c>
      <c r="M9" s="290">
        <v>5</v>
      </c>
      <c r="N9" s="290">
        <v>1</v>
      </c>
      <c r="O9" s="290">
        <v>0</v>
      </c>
      <c r="P9" s="290">
        <v>23.63</v>
      </c>
    </row>
    <row r="10" spans="1:16" ht="33.6" customHeight="1">
      <c r="A10" s="270" t="s">
        <v>510</v>
      </c>
      <c r="B10" s="290">
        <v>31.56</v>
      </c>
      <c r="C10" s="290">
        <v>10.7</v>
      </c>
      <c r="D10" s="290">
        <v>1.75</v>
      </c>
      <c r="E10" s="290">
        <v>0</v>
      </c>
      <c r="F10" s="290">
        <v>37.89</v>
      </c>
      <c r="G10" s="290">
        <v>27.89</v>
      </c>
      <c r="H10" s="290">
        <v>12.4</v>
      </c>
      <c r="I10" s="290">
        <v>2.2999999999999998</v>
      </c>
      <c r="J10" s="290">
        <v>0</v>
      </c>
      <c r="K10" s="290">
        <v>14.14</v>
      </c>
      <c r="L10" s="290">
        <v>26.63</v>
      </c>
      <c r="M10" s="290">
        <v>2.2000000000000002</v>
      </c>
      <c r="N10" s="290">
        <v>1</v>
      </c>
      <c r="O10" s="290">
        <v>1</v>
      </c>
      <c r="P10" s="290">
        <v>12.39</v>
      </c>
    </row>
    <row r="11" spans="1:16" ht="33.6" customHeight="1">
      <c r="A11" s="270" t="s">
        <v>511</v>
      </c>
      <c r="B11" s="290">
        <v>30.67</v>
      </c>
      <c r="C11" s="290">
        <v>4.9000000000000004</v>
      </c>
      <c r="D11" s="290">
        <v>6.54</v>
      </c>
      <c r="E11" s="290">
        <v>0</v>
      </c>
      <c r="F11" s="290">
        <v>41.85</v>
      </c>
      <c r="G11" s="290">
        <v>36.71</v>
      </c>
      <c r="H11" s="290">
        <v>18.95</v>
      </c>
      <c r="I11" s="290">
        <v>6.24</v>
      </c>
      <c r="J11" s="290">
        <v>0</v>
      </c>
      <c r="K11" s="290">
        <v>22.85</v>
      </c>
      <c r="L11" s="290">
        <v>32.11</v>
      </c>
      <c r="M11" s="290">
        <v>3.11</v>
      </c>
      <c r="N11" s="290">
        <v>4.4400000000000004</v>
      </c>
      <c r="O11" s="290">
        <v>0</v>
      </c>
      <c r="P11" s="290">
        <v>12.45</v>
      </c>
    </row>
    <row r="12" spans="1:16" s="46" customFormat="1" ht="33.6" customHeight="1">
      <c r="A12" s="270" t="s">
        <v>512</v>
      </c>
      <c r="B12" s="290">
        <v>37.68</v>
      </c>
      <c r="C12" s="290">
        <v>7.05</v>
      </c>
      <c r="D12" s="290">
        <v>4.5999999999999996</v>
      </c>
      <c r="E12" s="290">
        <v>4</v>
      </c>
      <c r="F12" s="290">
        <v>34.44</v>
      </c>
      <c r="G12" s="290">
        <v>39.869999999999997</v>
      </c>
      <c r="H12" s="290">
        <v>15.01</v>
      </c>
      <c r="I12" s="290">
        <v>8.64</v>
      </c>
      <c r="J12" s="290">
        <v>0</v>
      </c>
      <c r="K12" s="290">
        <v>25.74</v>
      </c>
      <c r="L12" s="290">
        <v>36.81</v>
      </c>
      <c r="M12" s="290">
        <v>0.4</v>
      </c>
      <c r="N12" s="290">
        <v>3</v>
      </c>
      <c r="O12" s="290">
        <v>0</v>
      </c>
      <c r="P12" s="290">
        <v>16.64</v>
      </c>
    </row>
    <row r="13" spans="1:16" ht="33.6" customHeight="1">
      <c r="A13" s="270" t="s">
        <v>513</v>
      </c>
      <c r="B13" s="290">
        <v>55.5</v>
      </c>
      <c r="C13" s="290">
        <v>29</v>
      </c>
      <c r="D13" s="290">
        <v>10</v>
      </c>
      <c r="E13" s="290">
        <v>74</v>
      </c>
      <c r="F13" s="290">
        <v>120.08</v>
      </c>
      <c r="G13" s="290">
        <v>90.17</v>
      </c>
      <c r="H13" s="290">
        <v>55</v>
      </c>
      <c r="I13" s="290">
        <v>10</v>
      </c>
      <c r="J13" s="290">
        <v>593</v>
      </c>
      <c r="K13" s="290">
        <v>31.08</v>
      </c>
      <c r="L13" s="290">
        <v>31.16</v>
      </c>
      <c r="M13" s="290">
        <v>3</v>
      </c>
      <c r="N13" s="290">
        <v>4</v>
      </c>
      <c r="O13" s="290">
        <v>0</v>
      </c>
      <c r="P13" s="290">
        <v>20.23</v>
      </c>
    </row>
    <row r="14" spans="1:16" ht="33.6" customHeight="1">
      <c r="A14" s="270" t="s">
        <v>877</v>
      </c>
      <c r="B14" s="290">
        <v>58.019999999999996</v>
      </c>
      <c r="C14" s="290">
        <v>64.099999999999994</v>
      </c>
      <c r="D14" s="290">
        <v>12</v>
      </c>
      <c r="E14" s="290">
        <v>672</v>
      </c>
      <c r="F14" s="290">
        <v>108.44</v>
      </c>
      <c r="G14" s="290">
        <v>82.85</v>
      </c>
      <c r="H14" s="290">
        <v>74.099999999999994</v>
      </c>
      <c r="I14" s="290">
        <v>11</v>
      </c>
      <c r="J14" s="290">
        <v>612</v>
      </c>
      <c r="K14" s="290">
        <v>32.18</v>
      </c>
      <c r="L14" s="290">
        <v>36.6</v>
      </c>
      <c r="M14" s="290">
        <v>3.1</v>
      </c>
      <c r="N14" s="290">
        <v>5</v>
      </c>
      <c r="O14" s="290">
        <v>0</v>
      </c>
      <c r="P14" s="290">
        <v>24.020000000000003</v>
      </c>
    </row>
    <row r="15" spans="1:16" ht="33.6" customHeight="1">
      <c r="A15" s="270" t="s">
        <v>1048</v>
      </c>
      <c r="B15" s="290">
        <v>71.86</v>
      </c>
      <c r="C15" s="290">
        <v>57</v>
      </c>
      <c r="D15" s="290">
        <v>17</v>
      </c>
      <c r="E15" s="290">
        <v>845</v>
      </c>
      <c r="F15" s="290">
        <v>60.129999999999995</v>
      </c>
      <c r="G15" s="290">
        <v>53.980000000000004</v>
      </c>
      <c r="H15" s="290">
        <v>121</v>
      </c>
      <c r="I15" s="290">
        <v>22</v>
      </c>
      <c r="J15" s="290">
        <v>829</v>
      </c>
      <c r="K15" s="290">
        <v>34.93</v>
      </c>
      <c r="L15" s="290">
        <v>33.229999999999997</v>
      </c>
      <c r="M15" s="290">
        <v>1</v>
      </c>
      <c r="N15" s="290">
        <v>3</v>
      </c>
      <c r="O15" s="290">
        <v>0</v>
      </c>
      <c r="P15" s="290">
        <v>29.33</v>
      </c>
    </row>
    <row r="16" spans="1:16" ht="33.6" customHeight="1">
      <c r="A16" s="270" t="s">
        <v>1244</v>
      </c>
      <c r="B16" s="290">
        <f>B17+B25+B28</f>
        <v>79.38</v>
      </c>
      <c r="C16" s="290">
        <f t="shared" ref="C16:P16" si="0">C17+C25+C28</f>
        <v>21</v>
      </c>
      <c r="D16" s="290">
        <f t="shared" si="0"/>
        <v>15</v>
      </c>
      <c r="E16" s="290">
        <f t="shared" si="0"/>
        <v>933</v>
      </c>
      <c r="F16" s="290">
        <f t="shared" si="0"/>
        <v>93.05</v>
      </c>
      <c r="G16" s="290">
        <f t="shared" si="0"/>
        <v>58.629999999999995</v>
      </c>
      <c r="H16" s="290">
        <f>H17+H25+H28</f>
        <v>75</v>
      </c>
      <c r="I16" s="290">
        <f t="shared" si="0"/>
        <v>17</v>
      </c>
      <c r="J16" s="290">
        <f t="shared" si="0"/>
        <v>250</v>
      </c>
      <c r="K16" s="290">
        <f t="shared" si="0"/>
        <v>34.75</v>
      </c>
      <c r="L16" s="290">
        <f t="shared" si="0"/>
        <v>37.42</v>
      </c>
      <c r="M16" s="290">
        <f t="shared" si="0"/>
        <v>2</v>
      </c>
      <c r="N16" s="290">
        <f t="shared" si="0"/>
        <v>1</v>
      </c>
      <c r="O16" s="290">
        <f t="shared" si="0"/>
        <v>0</v>
      </c>
      <c r="P16" s="290">
        <f t="shared" si="0"/>
        <v>27.55</v>
      </c>
    </row>
    <row r="17" spans="1:16" ht="33.6" customHeight="1">
      <c r="A17" s="270" t="s">
        <v>518</v>
      </c>
      <c r="B17" s="355">
        <f>SUM(B18:B23)</f>
        <v>37.379999999999995</v>
      </c>
      <c r="C17" s="355">
        <f t="shared" ref="C17:P17" si="1">SUM(C18:C23)</f>
        <v>6</v>
      </c>
      <c r="D17" s="355">
        <f t="shared" si="1"/>
        <v>10</v>
      </c>
      <c r="E17" s="355">
        <f t="shared" si="1"/>
        <v>0</v>
      </c>
      <c r="F17" s="355">
        <f t="shared" si="1"/>
        <v>48.05</v>
      </c>
      <c r="G17" s="355">
        <f t="shared" si="1"/>
        <v>38.629999999999995</v>
      </c>
      <c r="H17" s="355">
        <f t="shared" si="1"/>
        <v>13</v>
      </c>
      <c r="I17" s="355">
        <f t="shared" si="1"/>
        <v>15</v>
      </c>
      <c r="J17" s="355">
        <f t="shared" si="1"/>
        <v>0</v>
      </c>
      <c r="K17" s="355">
        <f>SUM(K18:K21)</f>
        <v>31.75</v>
      </c>
      <c r="L17" s="355">
        <f t="shared" si="1"/>
        <v>37.42</v>
      </c>
      <c r="M17" s="355">
        <f t="shared" si="1"/>
        <v>2</v>
      </c>
      <c r="N17" s="355">
        <f t="shared" si="1"/>
        <v>1</v>
      </c>
      <c r="O17" s="355">
        <f t="shared" si="1"/>
        <v>0</v>
      </c>
      <c r="P17" s="355">
        <f t="shared" si="1"/>
        <v>27.55</v>
      </c>
    </row>
    <row r="18" spans="1:16" ht="11.85" customHeight="1">
      <c r="A18" s="356" t="s">
        <v>884</v>
      </c>
      <c r="B18" s="355"/>
      <c r="C18" s="355"/>
      <c r="D18" s="355"/>
      <c r="E18" s="355"/>
      <c r="F18" s="355"/>
      <c r="G18" s="355"/>
      <c r="H18" s="355"/>
      <c r="I18" s="355"/>
      <c r="J18" s="355"/>
      <c r="K18" s="355"/>
      <c r="L18" s="355"/>
      <c r="M18" s="355"/>
      <c r="N18" s="355"/>
      <c r="O18" s="355"/>
      <c r="P18" s="355"/>
    </row>
    <row r="19" spans="1:16" ht="33.6" customHeight="1">
      <c r="A19" s="270" t="s">
        <v>515</v>
      </c>
      <c r="B19" s="355">
        <v>16</v>
      </c>
      <c r="C19" s="355">
        <v>6</v>
      </c>
      <c r="D19" s="355">
        <v>10</v>
      </c>
      <c r="E19" s="355">
        <v>0</v>
      </c>
      <c r="F19" s="355">
        <v>24</v>
      </c>
      <c r="G19" s="355">
        <v>14</v>
      </c>
      <c r="H19" s="355">
        <v>13</v>
      </c>
      <c r="I19" s="355">
        <v>15</v>
      </c>
      <c r="J19" s="355">
        <v>0</v>
      </c>
      <c r="K19" s="355">
        <v>11</v>
      </c>
      <c r="L19" s="355">
        <v>4.25</v>
      </c>
      <c r="M19" s="355">
        <v>2</v>
      </c>
      <c r="N19" s="355">
        <v>1</v>
      </c>
      <c r="O19" s="355">
        <v>0</v>
      </c>
      <c r="P19" s="355">
        <v>1</v>
      </c>
    </row>
    <row r="20" spans="1:16" ht="11.85" customHeight="1">
      <c r="A20" s="356" t="s">
        <v>885</v>
      </c>
      <c r="B20" s="355"/>
      <c r="C20" s="355"/>
      <c r="D20" s="355"/>
      <c r="E20" s="355"/>
      <c r="F20" s="355"/>
      <c r="G20" s="355"/>
      <c r="H20" s="355"/>
      <c r="I20" s="355"/>
      <c r="J20" s="355"/>
      <c r="K20" s="355"/>
      <c r="L20" s="355"/>
      <c r="M20" s="355"/>
      <c r="N20" s="355"/>
      <c r="O20" s="355"/>
      <c r="P20" s="355"/>
    </row>
    <row r="21" spans="1:16" ht="33.6" customHeight="1">
      <c r="A21" s="270" t="s">
        <v>516</v>
      </c>
      <c r="B21" s="355">
        <v>21.38</v>
      </c>
      <c r="C21" s="355">
        <v>0</v>
      </c>
      <c r="D21" s="355">
        <v>0</v>
      </c>
      <c r="E21" s="355">
        <v>0</v>
      </c>
      <c r="F21" s="355">
        <v>24.05</v>
      </c>
      <c r="G21" s="355">
        <v>24.63</v>
      </c>
      <c r="H21" s="355">
        <v>0</v>
      </c>
      <c r="I21" s="355">
        <v>0</v>
      </c>
      <c r="J21" s="355">
        <v>0</v>
      </c>
      <c r="K21" s="355">
        <v>20.75</v>
      </c>
      <c r="L21" s="355">
        <v>33.17</v>
      </c>
      <c r="M21" s="355">
        <v>0</v>
      </c>
      <c r="N21" s="355">
        <v>0</v>
      </c>
      <c r="O21" s="355">
        <v>0</v>
      </c>
      <c r="P21" s="355">
        <v>26.55</v>
      </c>
    </row>
    <row r="22" spans="1:16" ht="11.85" customHeight="1">
      <c r="A22" s="356" t="s">
        <v>886</v>
      </c>
      <c r="B22" s="355"/>
      <c r="C22" s="355"/>
      <c r="D22" s="355"/>
      <c r="E22" s="355"/>
      <c r="F22" s="355"/>
      <c r="G22" s="355"/>
      <c r="H22" s="355"/>
      <c r="I22" s="355"/>
      <c r="J22" s="355"/>
      <c r="K22" s="355"/>
      <c r="L22" s="355"/>
      <c r="M22" s="355"/>
      <c r="N22" s="355"/>
      <c r="O22" s="355"/>
      <c r="P22" s="355"/>
    </row>
    <row r="23" spans="1:16" ht="33.6" customHeight="1">
      <c r="A23" s="270" t="s">
        <v>1083</v>
      </c>
      <c r="B23" s="355">
        <v>0</v>
      </c>
      <c r="C23" s="355">
        <v>0</v>
      </c>
      <c r="D23" s="355">
        <v>0</v>
      </c>
      <c r="E23" s="355">
        <v>0</v>
      </c>
      <c r="F23" s="355">
        <v>0</v>
      </c>
      <c r="G23" s="355">
        <v>0</v>
      </c>
      <c r="H23" s="355">
        <v>0</v>
      </c>
      <c r="I23" s="355">
        <v>0</v>
      </c>
      <c r="J23" s="355">
        <v>0</v>
      </c>
      <c r="K23" s="355">
        <v>0</v>
      </c>
      <c r="L23" s="355">
        <v>0</v>
      </c>
      <c r="M23" s="355">
        <v>0</v>
      </c>
      <c r="N23" s="355">
        <v>0</v>
      </c>
      <c r="O23" s="355">
        <v>0</v>
      </c>
      <c r="P23" s="355">
        <v>0</v>
      </c>
    </row>
    <row r="24" spans="1:16" ht="11.85" customHeight="1">
      <c r="A24" s="356" t="s">
        <v>887</v>
      </c>
      <c r="B24" s="355"/>
      <c r="C24" s="355"/>
      <c r="D24" s="355"/>
      <c r="E24" s="355"/>
      <c r="F24" s="355"/>
      <c r="G24" s="355"/>
      <c r="H24" s="355"/>
      <c r="I24" s="355"/>
      <c r="J24" s="355"/>
      <c r="K24" s="287"/>
      <c r="L24" s="355"/>
      <c r="M24" s="355"/>
      <c r="N24" s="355"/>
      <c r="O24" s="355"/>
      <c r="P24" s="355"/>
    </row>
    <row r="25" spans="1:16" ht="33.6" customHeight="1">
      <c r="A25" s="270" t="s">
        <v>517</v>
      </c>
      <c r="B25" s="355">
        <v>4</v>
      </c>
      <c r="C25" s="355">
        <v>1</v>
      </c>
      <c r="D25" s="355">
        <v>1</v>
      </c>
      <c r="E25" s="355">
        <v>62</v>
      </c>
      <c r="F25" s="355">
        <v>4</v>
      </c>
      <c r="G25" s="355">
        <v>1</v>
      </c>
      <c r="H25" s="355">
        <v>0</v>
      </c>
      <c r="I25" s="355">
        <v>1</v>
      </c>
      <c r="J25" s="355">
        <v>5</v>
      </c>
      <c r="K25" s="355">
        <v>3</v>
      </c>
      <c r="L25" s="355">
        <v>0</v>
      </c>
      <c r="M25" s="355">
        <v>0</v>
      </c>
      <c r="N25" s="355">
        <v>0</v>
      </c>
      <c r="O25" s="355">
        <v>0</v>
      </c>
      <c r="P25" s="355">
        <v>0</v>
      </c>
    </row>
    <row r="26" spans="1:16" ht="11.85" customHeight="1">
      <c r="A26" s="356" t="s">
        <v>888</v>
      </c>
      <c r="B26" s="355"/>
      <c r="C26" s="355"/>
      <c r="D26" s="355"/>
      <c r="E26" s="355"/>
      <c r="F26" s="355"/>
      <c r="G26" s="355"/>
      <c r="H26" s="355"/>
      <c r="I26" s="355"/>
      <c r="J26" s="355"/>
      <c r="K26" s="355"/>
      <c r="L26" s="355"/>
      <c r="M26" s="355"/>
      <c r="N26" s="355"/>
      <c r="O26" s="355"/>
      <c r="P26" s="355"/>
    </row>
    <row r="27" spans="1:16" ht="11.85" customHeight="1">
      <c r="A27" s="356" t="s">
        <v>889</v>
      </c>
      <c r="B27" s="355"/>
      <c r="C27" s="355"/>
      <c r="D27" s="355"/>
      <c r="E27" s="355"/>
      <c r="F27" s="355"/>
      <c r="G27" s="355"/>
      <c r="H27" s="355"/>
      <c r="I27" s="355"/>
      <c r="J27" s="355"/>
      <c r="K27" s="355"/>
      <c r="L27" s="355"/>
      <c r="M27" s="355"/>
      <c r="N27" s="355"/>
      <c r="O27" s="355"/>
      <c r="P27" s="355"/>
    </row>
    <row r="28" spans="1:16" ht="33.6" customHeight="1">
      <c r="A28" s="270" t="s">
        <v>1084</v>
      </c>
      <c r="B28" s="355">
        <v>38</v>
      </c>
      <c r="C28" s="355">
        <v>14</v>
      </c>
      <c r="D28" s="355">
        <v>4</v>
      </c>
      <c r="E28" s="355">
        <v>871</v>
      </c>
      <c r="F28" s="355">
        <v>41</v>
      </c>
      <c r="G28" s="355">
        <v>19</v>
      </c>
      <c r="H28" s="355">
        <v>62</v>
      </c>
      <c r="I28" s="355">
        <v>1</v>
      </c>
      <c r="J28" s="355">
        <v>245</v>
      </c>
      <c r="K28" s="355">
        <v>0</v>
      </c>
      <c r="L28" s="355">
        <v>0</v>
      </c>
      <c r="M28" s="355">
        <v>0</v>
      </c>
      <c r="N28" s="355">
        <v>0</v>
      </c>
      <c r="O28" s="355">
        <v>0</v>
      </c>
      <c r="P28" s="355">
        <v>0</v>
      </c>
    </row>
    <row r="29" spans="1:16" ht="11.85" customHeight="1">
      <c r="A29" s="270" t="s">
        <v>1077</v>
      </c>
      <c r="B29" s="362"/>
      <c r="C29" s="362"/>
      <c r="D29" s="362"/>
      <c r="E29" s="362"/>
      <c r="F29" s="362"/>
      <c r="G29" s="362"/>
      <c r="H29" s="362"/>
      <c r="I29" s="362"/>
      <c r="J29" s="362"/>
      <c r="K29" s="362"/>
      <c r="L29" s="362"/>
      <c r="M29" s="362"/>
      <c r="N29" s="362"/>
      <c r="O29" s="362"/>
      <c r="P29" s="363"/>
    </row>
    <row r="30" spans="1:16" s="448" customFormat="1" ht="13.5" customHeight="1" thickBot="1">
      <c r="A30" s="360" t="s">
        <v>1049</v>
      </c>
      <c r="B30" s="364"/>
      <c r="C30" s="272"/>
      <c r="D30" s="272"/>
      <c r="E30" s="272"/>
      <c r="F30" s="272"/>
      <c r="G30" s="272"/>
      <c r="H30" s="365"/>
      <c r="I30" s="272"/>
      <c r="J30" s="272"/>
      <c r="K30" s="272"/>
      <c r="L30" s="430"/>
      <c r="M30" s="272"/>
      <c r="N30" s="430"/>
      <c r="O30" s="430"/>
      <c r="P30" s="272"/>
    </row>
    <row r="31" spans="1:16" s="448" customFormat="1" ht="13.5" customHeight="1">
      <c r="A31" s="98"/>
      <c r="B31" s="98"/>
      <c r="C31" s="98"/>
      <c r="D31" s="98"/>
      <c r="E31" s="98"/>
      <c r="F31" s="98"/>
      <c r="G31" s="98"/>
      <c r="H31" s="102"/>
      <c r="I31" s="98"/>
      <c r="J31" s="98"/>
      <c r="K31" s="98"/>
    </row>
    <row r="32" spans="1:16" s="448" customFormat="1" ht="14.1" customHeight="1">
      <c r="A32" s="98"/>
      <c r="H32" s="102"/>
    </row>
    <row r="33" spans="1:16" s="448" customFormat="1" ht="14.1" customHeight="1">
      <c r="A33" s="98"/>
      <c r="H33" s="102"/>
    </row>
    <row r="34" spans="1:16" s="448" customFormat="1" ht="14.1" customHeight="1">
      <c r="A34" s="98"/>
      <c r="H34" s="102"/>
    </row>
    <row r="35" spans="1:16" s="448" customFormat="1" ht="26.1" customHeight="1">
      <c r="H35" s="998"/>
      <c r="I35" s="998"/>
      <c r="J35" s="998"/>
      <c r="K35" s="998"/>
      <c r="L35" s="998"/>
      <c r="M35" s="998"/>
      <c r="N35" s="998"/>
      <c r="O35" s="998"/>
      <c r="P35" s="998"/>
    </row>
    <row r="36" spans="1:16" s="448" customFormat="1">
      <c r="H36" s="102"/>
    </row>
    <row r="37" spans="1:16" s="448" customFormat="1"/>
    <row r="38" spans="1:16" s="448" customFormat="1"/>
    <row r="39" spans="1:16" s="448" customFormat="1"/>
    <row r="40" spans="1:16" s="448" customFormat="1"/>
    <row r="41" spans="1:16" s="448" customFormat="1"/>
  </sheetData>
  <mergeCells count="7">
    <mergeCell ref="H35:P35"/>
    <mergeCell ref="A2:G2"/>
    <mergeCell ref="H2:P2"/>
    <mergeCell ref="A4:A6"/>
    <mergeCell ref="B4:F4"/>
    <mergeCell ref="G4:K4"/>
    <mergeCell ref="L4:P4"/>
  </mergeCells>
  <phoneticPr fontId="6" type="noConversion"/>
  <printOptions horizontalCentered="1"/>
  <pageMargins left="0.70866141732283461" right="0.70866141732283461" top="0.74803149606299213" bottom="0.74803149606299213" header="0.31496062992125984" footer="0.31496062992125984"/>
  <pageSetup paperSize="9" firstPageNumber="352" orientation="portrait" useFirstPageNumber="1" r:id="rId1"/>
  <headerFooter alignWithMargins="0"/>
  <colBreaks count="1" manualBreakCount="1">
    <brk id="7" max="1048575" man="1"/>
  </colBreaks>
  <ignoredErrors>
    <ignoredError sqref="K17"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工作表4"/>
  <dimension ref="A1:H27"/>
  <sheetViews>
    <sheetView showGridLines="0" view="pageBreakPreview" zoomScale="80" zoomScaleNormal="85" zoomScaleSheetLayoutView="80" workbookViewId="0">
      <pane xSplit="2" ySplit="9" topLeftCell="C16" activePane="bottomRight" state="frozen"/>
      <selection pane="topRight"/>
      <selection pane="bottomLeft"/>
      <selection pane="bottomRight" sqref="A1:XFD1048576"/>
    </sheetView>
  </sheetViews>
  <sheetFormatPr defaultRowHeight="12.75"/>
  <cols>
    <col min="1" max="2" width="12.625" style="182" customWidth="1"/>
    <col min="3" max="4" width="30.625" style="68" customWidth="1"/>
    <col min="5" max="16384" width="9" style="68"/>
  </cols>
  <sheetData>
    <row r="1" spans="1:8" s="182" customFormat="1" ht="18" customHeight="1">
      <c r="C1" s="527"/>
      <c r="D1" s="205" t="s">
        <v>47</v>
      </c>
    </row>
    <row r="2" spans="1:8" s="182" customFormat="1" ht="24.95" customHeight="1">
      <c r="A2" s="628" t="s">
        <v>1026</v>
      </c>
      <c r="B2" s="628"/>
      <c r="C2" s="628"/>
      <c r="D2" s="628"/>
      <c r="E2" s="206"/>
      <c r="F2" s="206"/>
      <c r="G2" s="206"/>
      <c r="H2" s="206"/>
    </row>
    <row r="3" spans="1:8" s="182" customFormat="1" ht="20.100000000000001" customHeight="1">
      <c r="A3" s="628" t="s">
        <v>48</v>
      </c>
      <c r="B3" s="628"/>
      <c r="C3" s="628"/>
      <c r="D3" s="628"/>
    </row>
    <row r="4" spans="1:8" s="182" customFormat="1" ht="14.1" customHeight="1">
      <c r="B4" s="526"/>
      <c r="C4" s="526"/>
      <c r="D4" s="207" t="s">
        <v>1025</v>
      </c>
    </row>
    <row r="5" spans="1:8" s="182" customFormat="1" ht="14.1" customHeight="1" thickBot="1">
      <c r="B5" s="526"/>
      <c r="C5" s="526"/>
      <c r="D5" s="528" t="s">
        <v>49</v>
      </c>
    </row>
    <row r="6" spans="1:8" s="182" customFormat="1" ht="18" customHeight="1">
      <c r="A6" s="629" t="s">
        <v>433</v>
      </c>
      <c r="B6" s="630"/>
      <c r="C6" s="633" t="s">
        <v>1315</v>
      </c>
      <c r="D6" s="634"/>
    </row>
    <row r="7" spans="1:8" s="182" customFormat="1" ht="18" customHeight="1">
      <c r="A7" s="631"/>
      <c r="B7" s="632"/>
      <c r="C7" s="635" t="s">
        <v>50</v>
      </c>
      <c r="D7" s="636"/>
    </row>
    <row r="8" spans="1:8" s="182" customFormat="1" ht="18" customHeight="1">
      <c r="A8" s="624" t="s">
        <v>51</v>
      </c>
      <c r="B8" s="625"/>
      <c r="C8" s="194" t="s">
        <v>715</v>
      </c>
      <c r="D8" s="194" t="s">
        <v>716</v>
      </c>
    </row>
    <row r="9" spans="1:8" s="182" customFormat="1" ht="18" customHeight="1" thickBot="1">
      <c r="A9" s="626"/>
      <c r="B9" s="627"/>
      <c r="C9" s="199" t="s">
        <v>52</v>
      </c>
      <c r="D9" s="199" t="s">
        <v>53</v>
      </c>
    </row>
    <row r="10" spans="1:8" ht="58.15" customHeight="1">
      <c r="A10" s="202" t="s">
        <v>717</v>
      </c>
      <c r="B10" s="186" t="s">
        <v>54</v>
      </c>
      <c r="C10" s="71">
        <v>1</v>
      </c>
      <c r="D10" s="64">
        <v>0</v>
      </c>
    </row>
    <row r="11" spans="1:8" ht="58.15" customHeight="1">
      <c r="A11" s="202" t="s">
        <v>710</v>
      </c>
      <c r="B11" s="187" t="s">
        <v>55</v>
      </c>
      <c r="C11" s="71">
        <v>1</v>
      </c>
      <c r="D11" s="64">
        <v>0</v>
      </c>
    </row>
    <row r="12" spans="1:8" ht="58.15" customHeight="1">
      <c r="A12" s="202" t="s">
        <v>718</v>
      </c>
      <c r="B12" s="185" t="s">
        <v>30</v>
      </c>
      <c r="C12" s="71">
        <v>1</v>
      </c>
      <c r="D12" s="64">
        <v>0</v>
      </c>
    </row>
    <row r="13" spans="1:8" ht="58.15" customHeight="1">
      <c r="A13" s="202" t="s">
        <v>712</v>
      </c>
      <c r="B13" s="185" t="s">
        <v>56</v>
      </c>
      <c r="C13" s="71" t="s">
        <v>34</v>
      </c>
      <c r="D13" s="64">
        <v>0</v>
      </c>
    </row>
    <row r="14" spans="1:8" ht="58.15" customHeight="1">
      <c r="A14" s="202" t="s">
        <v>713</v>
      </c>
      <c r="B14" s="185" t="s">
        <v>58</v>
      </c>
      <c r="C14" s="71" t="s">
        <v>34</v>
      </c>
      <c r="D14" s="64">
        <v>0</v>
      </c>
    </row>
    <row r="15" spans="1:8" ht="57.75" customHeight="1">
      <c r="A15" s="203" t="s">
        <v>714</v>
      </c>
      <c r="B15" s="185" t="s">
        <v>59</v>
      </c>
      <c r="C15" s="71">
        <v>1</v>
      </c>
      <c r="D15" s="64" t="s">
        <v>57</v>
      </c>
    </row>
    <row r="16" spans="1:8" ht="57.75" customHeight="1">
      <c r="A16" s="203" t="s">
        <v>723</v>
      </c>
      <c r="B16" s="185" t="s">
        <v>60</v>
      </c>
      <c r="C16" s="71">
        <v>1</v>
      </c>
      <c r="D16" s="64" t="s">
        <v>57</v>
      </c>
    </row>
    <row r="17" spans="1:4" ht="58.15" customHeight="1">
      <c r="A17" s="203" t="s">
        <v>735</v>
      </c>
      <c r="B17" s="185" t="s">
        <v>736</v>
      </c>
      <c r="C17" s="77">
        <v>1</v>
      </c>
      <c r="D17" s="64">
        <v>0</v>
      </c>
    </row>
    <row r="18" spans="1:4" ht="58.15" customHeight="1">
      <c r="A18" s="203" t="s">
        <v>1316</v>
      </c>
      <c r="B18" s="185" t="s">
        <v>1040</v>
      </c>
      <c r="C18" s="71">
        <v>1</v>
      </c>
      <c r="D18" s="64">
        <v>0</v>
      </c>
    </row>
    <row r="19" spans="1:4" ht="58.15" customHeight="1" thickBot="1">
      <c r="A19" s="409" t="s">
        <v>1317</v>
      </c>
      <c r="B19" s="410" t="s">
        <v>1247</v>
      </c>
      <c r="C19" s="411">
        <v>1</v>
      </c>
      <c r="D19" s="347">
        <v>0</v>
      </c>
    </row>
    <row r="20" spans="1:4" s="190" customFormat="1" ht="15" customHeight="1">
      <c r="A20" s="189" t="s">
        <v>1027</v>
      </c>
      <c r="C20" s="204"/>
      <c r="D20" s="204"/>
    </row>
    <row r="21" spans="1:4" s="182" customFormat="1" ht="15" customHeight="1">
      <c r="A21" s="204" t="s">
        <v>61</v>
      </c>
    </row>
    <row r="22" spans="1:4" s="182" customFormat="1"/>
    <row r="23" spans="1:4" s="182" customFormat="1"/>
    <row r="24" spans="1:4" s="182" customFormat="1"/>
    <row r="25" spans="1:4" s="182" customFormat="1"/>
    <row r="26" spans="1:4" s="182" customFormat="1"/>
    <row r="27" spans="1:4" s="182" customFormat="1"/>
  </sheetData>
  <mergeCells count="6">
    <mergeCell ref="A8:B9"/>
    <mergeCell ref="A2:D2"/>
    <mergeCell ref="A3:D3"/>
    <mergeCell ref="A6:B7"/>
    <mergeCell ref="C6:D6"/>
    <mergeCell ref="C7:D7"/>
  </mergeCells>
  <phoneticPr fontId="6" type="noConversion"/>
  <printOptions horizontalCentered="1"/>
  <pageMargins left="0.6692913385826772" right="0.6692913385826772" top="0.6692913385826772" bottom="0.6692913385826772" header="0.27559055118110237" footer="0.27559055118110237"/>
  <pageSetup paperSize="9" firstPageNumber="352" orientation="portrait" useFirstPageNumber="1"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工作表41"/>
  <dimension ref="A1:P31"/>
  <sheetViews>
    <sheetView showGridLines="0" view="pageBreakPreview" zoomScale="90" zoomScaleNormal="100" zoomScaleSheetLayoutView="90" workbookViewId="0">
      <pane xSplit="1" ySplit="6" topLeftCell="B14" activePane="bottomRight" state="frozen"/>
      <selection activeCell="U14" sqref="U14"/>
      <selection pane="topRight" activeCell="U14" sqref="U14"/>
      <selection pane="bottomLeft" activeCell="U14" sqref="U14"/>
      <selection pane="bottomRight" activeCell="P25" sqref="P25"/>
    </sheetView>
  </sheetViews>
  <sheetFormatPr defaultRowHeight="12.75"/>
  <cols>
    <col min="1" max="1" width="25.875" style="448" customWidth="1"/>
    <col min="2" max="2" width="10.125" style="31" customWidth="1"/>
    <col min="3" max="6" width="10.5" style="31" customWidth="1"/>
    <col min="7" max="7" width="10.125" style="31" customWidth="1"/>
    <col min="8" max="11" width="9.75" style="31" customWidth="1"/>
    <col min="12" max="12" width="10.125" style="31" customWidth="1"/>
    <col min="13" max="15" width="9.75" style="31" customWidth="1"/>
    <col min="16" max="16" width="9.125" style="31" customWidth="1"/>
    <col min="17" max="16384" width="9" style="31"/>
  </cols>
  <sheetData>
    <row r="1" spans="1:16" s="448" customFormat="1" ht="18" customHeight="1">
      <c r="A1" s="121" t="s">
        <v>934</v>
      </c>
      <c r="P1" s="446" t="s">
        <v>890</v>
      </c>
    </row>
    <row r="2" spans="1:16" s="448" customFormat="1" ht="24.95" customHeight="1">
      <c r="A2" s="643" t="s">
        <v>946</v>
      </c>
      <c r="B2" s="643"/>
      <c r="C2" s="643"/>
      <c r="D2" s="643"/>
      <c r="E2" s="643"/>
      <c r="F2" s="643"/>
      <c r="G2" s="643"/>
      <c r="H2" s="643" t="s">
        <v>891</v>
      </c>
      <c r="I2" s="643"/>
      <c r="J2" s="643"/>
      <c r="K2" s="643"/>
      <c r="L2" s="643"/>
      <c r="M2" s="643"/>
      <c r="N2" s="643"/>
      <c r="O2" s="643"/>
      <c r="P2" s="643"/>
    </row>
    <row r="3" spans="1:16" s="448" customFormat="1" ht="15" customHeight="1" thickBot="1">
      <c r="A3" s="430"/>
      <c r="B3" s="430"/>
      <c r="C3" s="430"/>
      <c r="D3" s="430"/>
      <c r="E3" s="430"/>
      <c r="F3" s="430"/>
      <c r="G3" s="272" t="s">
        <v>940</v>
      </c>
      <c r="H3" s="430"/>
      <c r="I3" s="430"/>
      <c r="J3" s="430"/>
      <c r="K3" s="272"/>
      <c r="L3" s="243"/>
      <c r="M3" s="430"/>
      <c r="N3" s="430"/>
      <c r="O3" s="430"/>
      <c r="P3" s="272" t="s">
        <v>892</v>
      </c>
    </row>
    <row r="4" spans="1:16" s="448" customFormat="1" ht="18.600000000000001" customHeight="1">
      <c r="A4" s="681" t="s">
        <v>506</v>
      </c>
      <c r="B4" s="852" t="s">
        <v>947</v>
      </c>
      <c r="C4" s="853"/>
      <c r="D4" s="853"/>
      <c r="E4" s="853"/>
      <c r="F4" s="1001"/>
      <c r="G4" s="651" t="s">
        <v>893</v>
      </c>
      <c r="H4" s="649"/>
      <c r="I4" s="649"/>
      <c r="J4" s="649"/>
      <c r="K4" s="650"/>
      <c r="L4" s="827" t="s">
        <v>894</v>
      </c>
      <c r="M4" s="827"/>
      <c r="N4" s="827"/>
      <c r="O4" s="827"/>
      <c r="P4" s="828"/>
    </row>
    <row r="5" spans="1:16" s="448" customFormat="1" ht="27" customHeight="1">
      <c r="A5" s="682"/>
      <c r="B5" s="437" t="s">
        <v>942</v>
      </c>
      <c r="C5" s="432" t="s">
        <v>943</v>
      </c>
      <c r="D5" s="432" t="s">
        <v>1121</v>
      </c>
      <c r="E5" s="432" t="s">
        <v>1302</v>
      </c>
      <c r="F5" s="432" t="s">
        <v>944</v>
      </c>
      <c r="G5" s="432" t="s">
        <v>942</v>
      </c>
      <c r="H5" s="440" t="s">
        <v>943</v>
      </c>
      <c r="I5" s="432" t="s">
        <v>1121</v>
      </c>
      <c r="J5" s="432" t="s">
        <v>1302</v>
      </c>
      <c r="K5" s="432" t="s">
        <v>944</v>
      </c>
      <c r="L5" s="440" t="s">
        <v>942</v>
      </c>
      <c r="M5" s="432" t="s">
        <v>943</v>
      </c>
      <c r="N5" s="432" t="s">
        <v>1121</v>
      </c>
      <c r="O5" s="432" t="s">
        <v>1302</v>
      </c>
      <c r="P5" s="432" t="s">
        <v>944</v>
      </c>
    </row>
    <row r="6" spans="1:16" s="447" customFormat="1" ht="39.950000000000003" customHeight="1" thickBot="1">
      <c r="A6" s="701"/>
      <c r="B6" s="267" t="s">
        <v>895</v>
      </c>
      <c r="C6" s="95" t="s">
        <v>361</v>
      </c>
      <c r="D6" s="95" t="s">
        <v>896</v>
      </c>
      <c r="E6" s="95" t="s">
        <v>897</v>
      </c>
      <c r="F6" s="268" t="s">
        <v>74</v>
      </c>
      <c r="G6" s="95" t="s">
        <v>895</v>
      </c>
      <c r="H6" s="94" t="s">
        <v>361</v>
      </c>
      <c r="I6" s="95" t="s">
        <v>896</v>
      </c>
      <c r="J6" s="95" t="s">
        <v>897</v>
      </c>
      <c r="K6" s="95" t="s">
        <v>74</v>
      </c>
      <c r="L6" s="94" t="s">
        <v>895</v>
      </c>
      <c r="M6" s="95" t="s">
        <v>361</v>
      </c>
      <c r="N6" s="95" t="s">
        <v>896</v>
      </c>
      <c r="O6" s="95" t="s">
        <v>897</v>
      </c>
      <c r="P6" s="95" t="s">
        <v>74</v>
      </c>
    </row>
    <row r="7" spans="1:16" ht="33.950000000000003" customHeight="1">
      <c r="A7" s="427" t="s">
        <v>507</v>
      </c>
      <c r="B7" s="291">
        <v>17.940000000000001</v>
      </c>
      <c r="C7" s="290">
        <v>3</v>
      </c>
      <c r="D7" s="290">
        <v>0</v>
      </c>
      <c r="E7" s="290">
        <v>0</v>
      </c>
      <c r="F7" s="290">
        <v>10.5</v>
      </c>
      <c r="G7" s="290">
        <v>12.79</v>
      </c>
      <c r="H7" s="290">
        <v>0</v>
      </c>
      <c r="I7" s="290">
        <v>0</v>
      </c>
      <c r="J7" s="290">
        <v>0</v>
      </c>
      <c r="K7" s="290">
        <v>22.5</v>
      </c>
      <c r="L7" s="290">
        <v>5.35</v>
      </c>
      <c r="M7" s="290">
        <v>0</v>
      </c>
      <c r="N7" s="290">
        <v>28</v>
      </c>
      <c r="O7" s="290">
        <v>4</v>
      </c>
      <c r="P7" s="290">
        <v>1</v>
      </c>
    </row>
    <row r="8" spans="1:16" ht="33.950000000000003" customHeight="1">
      <c r="A8" s="427" t="s">
        <v>508</v>
      </c>
      <c r="B8" s="291">
        <v>20.11</v>
      </c>
      <c r="C8" s="290">
        <v>6</v>
      </c>
      <c r="D8" s="290">
        <v>0</v>
      </c>
      <c r="E8" s="290">
        <v>0</v>
      </c>
      <c r="F8" s="290">
        <v>17.100000000000001</v>
      </c>
      <c r="G8" s="290">
        <v>9.8699999999999992</v>
      </c>
      <c r="H8" s="290">
        <v>1</v>
      </c>
      <c r="I8" s="290">
        <v>0</v>
      </c>
      <c r="J8" s="290">
        <v>0</v>
      </c>
      <c r="K8" s="290">
        <v>17</v>
      </c>
      <c r="L8" s="290">
        <v>8.5</v>
      </c>
      <c r="M8" s="290">
        <v>80</v>
      </c>
      <c r="N8" s="290">
        <v>6</v>
      </c>
      <c r="O8" s="290">
        <v>0</v>
      </c>
      <c r="P8" s="290">
        <v>16</v>
      </c>
    </row>
    <row r="9" spans="1:16" ht="33.950000000000003" customHeight="1">
      <c r="A9" s="270" t="s">
        <v>509</v>
      </c>
      <c r="B9" s="290">
        <v>29.11</v>
      </c>
      <c r="C9" s="290">
        <v>2</v>
      </c>
      <c r="D9" s="290">
        <v>2</v>
      </c>
      <c r="E9" s="290">
        <v>0</v>
      </c>
      <c r="F9" s="290">
        <v>28.4</v>
      </c>
      <c r="G9" s="290">
        <v>14.84</v>
      </c>
      <c r="H9" s="290">
        <v>2</v>
      </c>
      <c r="I9" s="290">
        <v>0</v>
      </c>
      <c r="J9" s="290">
        <v>0</v>
      </c>
      <c r="K9" s="290">
        <v>35.5</v>
      </c>
      <c r="L9" s="290">
        <v>18.170000000000002</v>
      </c>
      <c r="M9" s="290">
        <v>61</v>
      </c>
      <c r="N9" s="290">
        <v>4</v>
      </c>
      <c r="O9" s="290">
        <v>0</v>
      </c>
      <c r="P9" s="290">
        <v>30.5</v>
      </c>
    </row>
    <row r="10" spans="1:16" ht="33.950000000000003" customHeight="1">
      <c r="A10" s="270" t="s">
        <v>510</v>
      </c>
      <c r="B10" s="290">
        <v>39.799999999999997</v>
      </c>
      <c r="C10" s="290">
        <v>7</v>
      </c>
      <c r="D10" s="290">
        <v>3</v>
      </c>
      <c r="E10" s="290">
        <v>0</v>
      </c>
      <c r="F10" s="290">
        <v>23.16</v>
      </c>
      <c r="G10" s="290">
        <v>10.88</v>
      </c>
      <c r="H10" s="290">
        <v>0</v>
      </c>
      <c r="I10" s="290">
        <v>1</v>
      </c>
      <c r="J10" s="290">
        <v>0</v>
      </c>
      <c r="K10" s="290">
        <v>23.14</v>
      </c>
      <c r="L10" s="290">
        <v>14.03</v>
      </c>
      <c r="M10" s="290">
        <v>45.28</v>
      </c>
      <c r="N10" s="290">
        <v>13.5</v>
      </c>
      <c r="O10" s="290">
        <v>0</v>
      </c>
      <c r="P10" s="290">
        <v>9</v>
      </c>
    </row>
    <row r="11" spans="1:16" ht="33.950000000000003" customHeight="1">
      <c r="A11" s="270" t="s">
        <v>511</v>
      </c>
      <c r="B11" s="290">
        <v>34.729999999999997</v>
      </c>
      <c r="C11" s="290">
        <v>3.15</v>
      </c>
      <c r="D11" s="290">
        <v>5.04</v>
      </c>
      <c r="E11" s="290">
        <v>0</v>
      </c>
      <c r="F11" s="290">
        <v>27.67</v>
      </c>
      <c r="G11" s="290">
        <v>14.11</v>
      </c>
      <c r="H11" s="290">
        <v>0.11</v>
      </c>
      <c r="I11" s="290">
        <v>0.44</v>
      </c>
      <c r="J11" s="290">
        <v>0</v>
      </c>
      <c r="K11" s="290">
        <v>23.35</v>
      </c>
      <c r="L11" s="290">
        <v>29.64</v>
      </c>
      <c r="M11" s="290">
        <v>38.11</v>
      </c>
      <c r="N11" s="290">
        <v>6.44</v>
      </c>
      <c r="O11" s="290">
        <v>3</v>
      </c>
      <c r="P11" s="290">
        <v>26.41</v>
      </c>
    </row>
    <row r="12" spans="1:16" s="46" customFormat="1" ht="33.950000000000003" customHeight="1">
      <c r="A12" s="270" t="s">
        <v>512</v>
      </c>
      <c r="B12" s="290">
        <v>45.21</v>
      </c>
      <c r="C12" s="290">
        <v>1.2</v>
      </c>
      <c r="D12" s="290">
        <v>5</v>
      </c>
      <c r="E12" s="290">
        <v>0</v>
      </c>
      <c r="F12" s="290">
        <v>43.66</v>
      </c>
      <c r="G12" s="290">
        <v>18.940000000000001</v>
      </c>
      <c r="H12" s="290">
        <v>0.2</v>
      </c>
      <c r="I12" s="290">
        <v>0</v>
      </c>
      <c r="J12" s="290">
        <v>0</v>
      </c>
      <c r="K12" s="290">
        <v>28.44</v>
      </c>
      <c r="L12" s="290">
        <v>86.73</v>
      </c>
      <c r="M12" s="290">
        <v>66.900000000000006</v>
      </c>
      <c r="N12" s="290">
        <v>18</v>
      </c>
      <c r="O12" s="290">
        <v>2</v>
      </c>
      <c r="P12" s="290">
        <v>37.4</v>
      </c>
    </row>
    <row r="13" spans="1:16" ht="33.950000000000003" customHeight="1">
      <c r="A13" s="270" t="s">
        <v>513</v>
      </c>
      <c r="B13" s="290">
        <v>44.36</v>
      </c>
      <c r="C13" s="290">
        <v>5</v>
      </c>
      <c r="D13" s="290">
        <v>3</v>
      </c>
      <c r="E13" s="290">
        <v>3</v>
      </c>
      <c r="F13" s="290">
        <v>56.73</v>
      </c>
      <c r="G13" s="290">
        <v>10.79</v>
      </c>
      <c r="H13" s="290">
        <v>0</v>
      </c>
      <c r="I13" s="290">
        <v>0</v>
      </c>
      <c r="J13" s="290">
        <v>0</v>
      </c>
      <c r="K13" s="290">
        <v>20.41</v>
      </c>
      <c r="L13" s="290">
        <v>6.83</v>
      </c>
      <c r="M13" s="290">
        <v>65</v>
      </c>
      <c r="N13" s="290">
        <v>26</v>
      </c>
      <c r="O13" s="290">
        <v>2</v>
      </c>
      <c r="P13" s="290">
        <v>16</v>
      </c>
    </row>
    <row r="14" spans="1:16" ht="33.950000000000003" customHeight="1">
      <c r="A14" s="270" t="s">
        <v>877</v>
      </c>
      <c r="B14" s="290">
        <v>40.950000000000003</v>
      </c>
      <c r="C14" s="290">
        <v>10.1</v>
      </c>
      <c r="D14" s="290">
        <v>4</v>
      </c>
      <c r="E14" s="290">
        <v>4</v>
      </c>
      <c r="F14" s="290">
        <v>54.279999999999994</v>
      </c>
      <c r="G14" s="290">
        <v>10.81</v>
      </c>
      <c r="H14" s="290">
        <v>0.1</v>
      </c>
      <c r="I14" s="290">
        <v>0</v>
      </c>
      <c r="J14" s="290">
        <v>0</v>
      </c>
      <c r="K14" s="290">
        <v>22.560000000000002</v>
      </c>
      <c r="L14" s="290">
        <v>11.32</v>
      </c>
      <c r="M14" s="290">
        <v>62.1</v>
      </c>
      <c r="N14" s="290">
        <v>30</v>
      </c>
      <c r="O14" s="290">
        <v>0</v>
      </c>
      <c r="P14" s="290">
        <v>17.3</v>
      </c>
    </row>
    <row r="15" spans="1:16" ht="33.950000000000003" customHeight="1">
      <c r="A15" s="270" t="s">
        <v>1048</v>
      </c>
      <c r="B15" s="290">
        <v>43.08</v>
      </c>
      <c r="C15" s="290">
        <v>12</v>
      </c>
      <c r="D15" s="290">
        <v>0</v>
      </c>
      <c r="E15" s="290">
        <v>3</v>
      </c>
      <c r="F15" s="290">
        <v>47.18</v>
      </c>
      <c r="G15" s="290">
        <v>15.36</v>
      </c>
      <c r="H15" s="290">
        <v>0</v>
      </c>
      <c r="I15" s="290">
        <v>0</v>
      </c>
      <c r="J15" s="290">
        <v>0</v>
      </c>
      <c r="K15" s="290">
        <v>26.43</v>
      </c>
      <c r="L15" s="290">
        <v>10.4</v>
      </c>
      <c r="M15" s="290">
        <v>66</v>
      </c>
      <c r="N15" s="290">
        <v>29</v>
      </c>
      <c r="O15" s="290">
        <v>0</v>
      </c>
      <c r="P15" s="290">
        <v>21.09</v>
      </c>
    </row>
    <row r="16" spans="1:16" ht="33.950000000000003" customHeight="1">
      <c r="A16" s="270" t="s">
        <v>1244</v>
      </c>
      <c r="B16" s="290">
        <f>B17+B25+B28</f>
        <v>42.78</v>
      </c>
      <c r="C16" s="290">
        <f t="shared" ref="C16:P16" si="0">C17+C25+C28</f>
        <v>8</v>
      </c>
      <c r="D16" s="290">
        <f t="shared" si="0"/>
        <v>4</v>
      </c>
      <c r="E16" s="290">
        <f t="shared" si="0"/>
        <v>3</v>
      </c>
      <c r="F16" s="290">
        <f t="shared" si="0"/>
        <v>49.2</v>
      </c>
      <c r="G16" s="290">
        <f t="shared" si="0"/>
        <v>15.08</v>
      </c>
      <c r="H16" s="290">
        <f t="shared" si="0"/>
        <v>0</v>
      </c>
      <c r="I16" s="290">
        <f t="shared" si="0"/>
        <v>0</v>
      </c>
      <c r="J16" s="290">
        <f t="shared" si="0"/>
        <v>0</v>
      </c>
      <c r="K16" s="290">
        <f t="shared" si="0"/>
        <v>31.05</v>
      </c>
      <c r="L16" s="290">
        <f t="shared" si="0"/>
        <v>9.3000000000000007</v>
      </c>
      <c r="M16" s="290">
        <f t="shared" si="0"/>
        <v>85</v>
      </c>
      <c r="N16" s="290">
        <f t="shared" si="0"/>
        <v>32</v>
      </c>
      <c r="O16" s="290">
        <f t="shared" si="0"/>
        <v>0</v>
      </c>
      <c r="P16" s="290">
        <f t="shared" si="0"/>
        <v>28.7</v>
      </c>
    </row>
    <row r="17" spans="1:16" s="46" customFormat="1" ht="34.5" customHeight="1">
      <c r="A17" s="270" t="s">
        <v>514</v>
      </c>
      <c r="B17" s="355">
        <f>SUM(B18:B23)</f>
        <v>39.78</v>
      </c>
      <c r="C17" s="355">
        <f t="shared" ref="C17:L17" si="1">SUM(C18:C23)</f>
        <v>4</v>
      </c>
      <c r="D17" s="355">
        <f t="shared" si="1"/>
        <v>4</v>
      </c>
      <c r="E17" s="355">
        <f t="shared" si="1"/>
        <v>0</v>
      </c>
      <c r="F17" s="355">
        <f t="shared" si="1"/>
        <v>49.2</v>
      </c>
      <c r="G17" s="355">
        <f t="shared" si="1"/>
        <v>15.08</v>
      </c>
      <c r="H17" s="355">
        <f t="shared" si="1"/>
        <v>0</v>
      </c>
      <c r="I17" s="355">
        <f>SUM(I18:I23)</f>
        <v>0</v>
      </c>
      <c r="J17" s="355">
        <f t="shared" si="1"/>
        <v>0</v>
      </c>
      <c r="K17" s="355">
        <f t="shared" si="1"/>
        <v>31.05</v>
      </c>
      <c r="L17" s="355">
        <f t="shared" si="1"/>
        <v>9.3000000000000007</v>
      </c>
      <c r="M17" s="355">
        <f>SUM(M18:M23)</f>
        <v>75</v>
      </c>
      <c r="N17" s="355">
        <f>SUM(N18:N23)</f>
        <v>32</v>
      </c>
      <c r="O17" s="355">
        <f>SUM(O18:O23)</f>
        <v>0</v>
      </c>
      <c r="P17" s="355">
        <f>SUM(P18:P23)</f>
        <v>27.7</v>
      </c>
    </row>
    <row r="18" spans="1:16" ht="11.85" customHeight="1">
      <c r="A18" s="270" t="s">
        <v>898</v>
      </c>
      <c r="B18" s="1002"/>
      <c r="C18" s="1002"/>
      <c r="D18" s="1002"/>
      <c r="E18" s="1002"/>
      <c r="F18" s="1002"/>
      <c r="G18" s="1003"/>
      <c r="H18" s="1003"/>
      <c r="I18" s="1003"/>
      <c r="J18" s="1003"/>
      <c r="K18" s="1003"/>
      <c r="L18" s="1003"/>
      <c r="M18" s="1003"/>
      <c r="N18" s="1003"/>
      <c r="O18" s="1003"/>
      <c r="P18" s="1003"/>
    </row>
    <row r="19" spans="1:16" ht="34.5" customHeight="1">
      <c r="A19" s="270" t="s">
        <v>899</v>
      </c>
      <c r="B19" s="355">
        <v>7</v>
      </c>
      <c r="C19" s="355">
        <v>4</v>
      </c>
      <c r="D19" s="355">
        <v>4</v>
      </c>
      <c r="E19" s="355">
        <v>0</v>
      </c>
      <c r="F19" s="355">
        <v>0</v>
      </c>
      <c r="G19" s="355">
        <v>0</v>
      </c>
      <c r="H19" s="355">
        <v>0</v>
      </c>
      <c r="I19" s="355">
        <v>0</v>
      </c>
      <c r="J19" s="355">
        <v>0</v>
      </c>
      <c r="K19" s="355">
        <v>7</v>
      </c>
      <c r="L19" s="355">
        <v>4</v>
      </c>
      <c r="M19" s="355">
        <v>75</v>
      </c>
      <c r="N19" s="355">
        <v>32</v>
      </c>
      <c r="O19" s="355">
        <v>0</v>
      </c>
      <c r="P19" s="355">
        <v>16</v>
      </c>
    </row>
    <row r="20" spans="1:16" s="273" customFormat="1" ht="11.85" customHeight="1">
      <c r="A20" s="270" t="s">
        <v>900</v>
      </c>
      <c r="B20" s="359"/>
      <c r="C20" s="359"/>
      <c r="D20" s="359"/>
      <c r="E20" s="359"/>
      <c r="F20" s="359"/>
      <c r="G20" s="359"/>
      <c r="H20" s="355"/>
      <c r="I20" s="355"/>
      <c r="J20" s="355"/>
      <c r="K20" s="359"/>
      <c r="L20" s="359"/>
      <c r="M20" s="359"/>
      <c r="N20" s="359"/>
      <c r="O20" s="359"/>
      <c r="P20" s="359"/>
    </row>
    <row r="21" spans="1:16" ht="34.5" customHeight="1">
      <c r="A21" s="270" t="s">
        <v>901</v>
      </c>
      <c r="B21" s="355">
        <v>32.78</v>
      </c>
      <c r="C21" s="355">
        <v>0</v>
      </c>
      <c r="D21" s="355">
        <v>0</v>
      </c>
      <c r="E21" s="355">
        <v>0</v>
      </c>
      <c r="F21" s="355">
        <v>49.2</v>
      </c>
      <c r="G21" s="355">
        <v>15.08</v>
      </c>
      <c r="H21" s="355">
        <v>0</v>
      </c>
      <c r="I21" s="355">
        <v>0</v>
      </c>
      <c r="J21" s="355">
        <v>0</v>
      </c>
      <c r="K21" s="355">
        <v>24.05</v>
      </c>
      <c r="L21" s="355">
        <v>5.3</v>
      </c>
      <c r="M21" s="355">
        <v>0</v>
      </c>
      <c r="N21" s="355">
        <v>0</v>
      </c>
      <c r="O21" s="355">
        <v>0</v>
      </c>
      <c r="P21" s="355">
        <v>11.7</v>
      </c>
    </row>
    <row r="22" spans="1:16" ht="11.85" customHeight="1">
      <c r="A22" s="270" t="s">
        <v>902</v>
      </c>
      <c r="B22" s="355"/>
      <c r="C22" s="355"/>
      <c r="D22" s="355"/>
      <c r="E22" s="355"/>
      <c r="F22" s="355"/>
      <c r="G22" s="355"/>
      <c r="H22" s="355"/>
      <c r="I22" s="355"/>
      <c r="J22" s="355"/>
      <c r="K22" s="355"/>
      <c r="L22" s="355"/>
      <c r="M22" s="355"/>
      <c r="N22" s="355"/>
      <c r="O22" s="355"/>
      <c r="P22" s="355"/>
    </row>
    <row r="23" spans="1:16" ht="34.5" customHeight="1">
      <c r="A23" s="270" t="s">
        <v>1075</v>
      </c>
      <c r="B23" s="355">
        <v>0</v>
      </c>
      <c r="C23" s="355">
        <v>0</v>
      </c>
      <c r="D23" s="355">
        <v>0</v>
      </c>
      <c r="E23" s="355">
        <v>0</v>
      </c>
      <c r="F23" s="355">
        <v>0</v>
      </c>
      <c r="G23" s="355">
        <v>0</v>
      </c>
      <c r="H23" s="355">
        <v>0</v>
      </c>
      <c r="I23" s="355">
        <v>0</v>
      </c>
      <c r="J23" s="355">
        <v>0</v>
      </c>
      <c r="K23" s="355">
        <v>0</v>
      </c>
      <c r="L23" s="355">
        <v>0</v>
      </c>
      <c r="M23" s="355">
        <v>0</v>
      </c>
      <c r="N23" s="355">
        <v>0</v>
      </c>
      <c r="O23" s="355">
        <v>0</v>
      </c>
      <c r="P23" s="355">
        <v>0</v>
      </c>
    </row>
    <row r="24" spans="1:16" ht="11.85" customHeight="1">
      <c r="A24" s="270" t="s">
        <v>903</v>
      </c>
      <c r="B24" s="355"/>
      <c r="C24" s="355"/>
      <c r="D24" s="355"/>
      <c r="E24" s="355"/>
      <c r="F24" s="355"/>
      <c r="G24" s="355"/>
      <c r="H24" s="355"/>
      <c r="I24" s="355"/>
      <c r="J24" s="355"/>
      <c r="K24" s="355"/>
      <c r="L24" s="355"/>
      <c r="M24" s="355"/>
      <c r="N24" s="355"/>
      <c r="O24" s="355"/>
      <c r="P24" s="355"/>
    </row>
    <row r="25" spans="1:16" ht="34.5" customHeight="1">
      <c r="A25" s="270" t="s">
        <v>904</v>
      </c>
      <c r="B25" s="355">
        <v>0</v>
      </c>
      <c r="C25" s="355">
        <v>0</v>
      </c>
      <c r="D25" s="355">
        <v>0</v>
      </c>
      <c r="E25" s="355">
        <v>0</v>
      </c>
      <c r="F25" s="355">
        <v>0</v>
      </c>
      <c r="G25" s="355">
        <v>0</v>
      </c>
      <c r="H25" s="355">
        <v>0</v>
      </c>
      <c r="I25" s="355">
        <v>0</v>
      </c>
      <c r="J25" s="355">
        <v>0</v>
      </c>
      <c r="K25" s="355">
        <v>0</v>
      </c>
      <c r="L25" s="355">
        <v>0</v>
      </c>
      <c r="M25" s="355">
        <v>10</v>
      </c>
      <c r="N25" s="355">
        <v>0</v>
      </c>
      <c r="O25" s="355">
        <v>0</v>
      </c>
      <c r="P25" s="355">
        <v>1</v>
      </c>
    </row>
    <row r="26" spans="1:16" ht="11.85" customHeight="1">
      <c r="A26" s="270" t="s">
        <v>905</v>
      </c>
      <c r="B26" s="355"/>
      <c r="C26" s="355"/>
      <c r="D26" s="355"/>
      <c r="E26" s="355"/>
      <c r="F26" s="355"/>
      <c r="G26" s="355"/>
      <c r="H26" s="355"/>
      <c r="I26" s="355"/>
      <c r="J26" s="355"/>
      <c r="K26" s="355"/>
      <c r="L26" s="355"/>
      <c r="M26" s="355"/>
      <c r="N26" s="355"/>
      <c r="O26" s="355"/>
      <c r="P26" s="355"/>
    </row>
    <row r="27" spans="1:16" ht="11.85" customHeight="1">
      <c r="A27" s="270" t="s">
        <v>906</v>
      </c>
      <c r="B27" s="355"/>
      <c r="C27" s="355"/>
      <c r="D27" s="355"/>
      <c r="E27" s="355"/>
      <c r="F27" s="355"/>
      <c r="G27" s="355"/>
      <c r="H27" s="355"/>
      <c r="I27" s="355"/>
      <c r="J27" s="355"/>
      <c r="K27" s="355"/>
      <c r="L27" s="355"/>
      <c r="M27" s="355"/>
      <c r="N27" s="355"/>
      <c r="O27" s="355"/>
      <c r="P27" s="355"/>
    </row>
    <row r="28" spans="1:16" ht="34.5" customHeight="1">
      <c r="A28" s="270" t="s">
        <v>1076</v>
      </c>
      <c r="B28" s="355">
        <v>3</v>
      </c>
      <c r="C28" s="355">
        <v>4</v>
      </c>
      <c r="D28" s="355">
        <v>0</v>
      </c>
      <c r="E28" s="355">
        <v>3</v>
      </c>
      <c r="F28" s="355">
        <v>0</v>
      </c>
      <c r="G28" s="355">
        <v>0</v>
      </c>
      <c r="H28" s="355">
        <v>0</v>
      </c>
      <c r="I28" s="355">
        <v>0</v>
      </c>
      <c r="J28" s="355">
        <v>0</v>
      </c>
      <c r="K28" s="355">
        <v>0</v>
      </c>
      <c r="L28" s="355">
        <v>0</v>
      </c>
      <c r="M28" s="355">
        <v>0</v>
      </c>
      <c r="N28" s="355">
        <v>0</v>
      </c>
      <c r="O28" s="355">
        <v>0</v>
      </c>
      <c r="P28" s="355">
        <v>0</v>
      </c>
    </row>
    <row r="29" spans="1:16" s="46" customFormat="1" ht="11.85" customHeight="1">
      <c r="A29" s="270" t="s">
        <v>1077</v>
      </c>
      <c r="B29" s="366"/>
      <c r="C29" s="366"/>
      <c r="D29" s="363"/>
      <c r="E29" s="366"/>
      <c r="F29" s="366"/>
      <c r="G29" s="366"/>
      <c r="H29" s="366"/>
      <c r="I29" s="366"/>
      <c r="J29" s="366"/>
      <c r="K29" s="366"/>
      <c r="L29" s="366"/>
      <c r="M29" s="366"/>
      <c r="N29" s="366"/>
      <c r="O29" s="366"/>
      <c r="P29" s="366"/>
    </row>
    <row r="30" spans="1:16" ht="18.95" hidden="1" customHeight="1">
      <c r="A30" s="360" t="s">
        <v>1049</v>
      </c>
      <c r="B30" s="33"/>
      <c r="C30" s="33"/>
      <c r="D30" s="367"/>
      <c r="E30" s="33"/>
      <c r="F30" s="33"/>
      <c r="G30" s="33"/>
      <c r="H30" s="33"/>
      <c r="I30" s="33"/>
      <c r="J30" s="33"/>
      <c r="K30" s="33"/>
      <c r="L30" s="33"/>
      <c r="M30" s="33"/>
      <c r="N30" s="33"/>
      <c r="O30" s="33"/>
      <c r="P30" s="33"/>
    </row>
    <row r="31" spans="1:16" ht="13.5" customHeight="1" thickBot="1">
      <c r="A31" s="360" t="s">
        <v>1049</v>
      </c>
      <c r="B31" s="368"/>
      <c r="C31" s="368"/>
      <c r="D31" s="368"/>
      <c r="E31" s="368"/>
      <c r="F31" s="368"/>
      <c r="G31" s="368"/>
      <c r="H31" s="369"/>
      <c r="I31" s="368"/>
      <c r="J31" s="368"/>
      <c r="K31" s="368"/>
      <c r="L31" s="368"/>
      <c r="M31" s="368"/>
      <c r="N31" s="368"/>
      <c r="O31" s="368"/>
      <c r="P31" s="368"/>
    </row>
  </sheetData>
  <mergeCells count="9">
    <mergeCell ref="B18:F18"/>
    <mergeCell ref="G18:K18"/>
    <mergeCell ref="L18:P18"/>
    <mergeCell ref="A2:G2"/>
    <mergeCell ref="H2:P2"/>
    <mergeCell ref="A4:A6"/>
    <mergeCell ref="B4:F4"/>
    <mergeCell ref="G4:K4"/>
    <mergeCell ref="L4:P4"/>
  </mergeCells>
  <phoneticPr fontId="6" type="noConversion"/>
  <printOptions horizontalCentered="1"/>
  <pageMargins left="0.6692913385826772" right="0.6692913385826772" top="0.6692913385826772" bottom="0.6692913385826772" header="0.27559055118110237" footer="0.27559055118110237"/>
  <pageSetup paperSize="9" firstPageNumber="352" orientation="portrait" useFirstPageNumber="1" r:id="rId1"/>
  <headerFooter alignWithMargins="0"/>
  <colBreaks count="1" manualBreakCount="1">
    <brk id="7" max="1048575" man="1"/>
  </colBreak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工作表42"/>
  <dimension ref="A1:X42"/>
  <sheetViews>
    <sheetView showGridLines="0" view="pageBreakPreview" zoomScale="80" zoomScaleNormal="100" zoomScaleSheetLayoutView="80" workbookViewId="0">
      <pane xSplit="1" ySplit="6" topLeftCell="B13" activePane="bottomRight" state="frozen"/>
      <selection activeCell="U14" sqref="U14"/>
      <selection pane="topRight" activeCell="U14" sqref="U14"/>
      <selection pane="bottomLeft" activeCell="U14" sqref="U14"/>
      <selection pane="bottomRight" activeCell="O13" sqref="O13"/>
    </sheetView>
  </sheetViews>
  <sheetFormatPr defaultRowHeight="12.75"/>
  <cols>
    <col min="1" max="1" width="25.875" style="448" customWidth="1"/>
    <col min="2" max="2" width="10.125" style="31" customWidth="1"/>
    <col min="3" max="3" width="9.625" style="31" customWidth="1"/>
    <col min="4" max="6" width="10.625" style="31" customWidth="1"/>
    <col min="7" max="7" width="10.125" style="31" customWidth="1"/>
    <col min="8" max="8" width="9.625" style="31" customWidth="1"/>
    <col min="9" max="11" width="9.75" style="31" customWidth="1"/>
    <col min="12" max="12" width="10.125" style="31" customWidth="1"/>
    <col min="13" max="13" width="9.625" style="31" customWidth="1"/>
    <col min="14" max="15" width="9.75" style="31" customWidth="1"/>
    <col min="16" max="16" width="9.125" style="31" customWidth="1"/>
    <col min="17" max="16384" width="9" style="31"/>
  </cols>
  <sheetData>
    <row r="1" spans="1:24" s="448" customFormat="1" ht="18" customHeight="1">
      <c r="A1" s="121" t="s">
        <v>934</v>
      </c>
      <c r="P1" s="446" t="s">
        <v>907</v>
      </c>
    </row>
    <row r="2" spans="1:24" s="448" customFormat="1" ht="24.95" customHeight="1">
      <c r="A2" s="643" t="s">
        <v>939</v>
      </c>
      <c r="B2" s="643"/>
      <c r="C2" s="643"/>
      <c r="D2" s="643"/>
      <c r="E2" s="643"/>
      <c r="F2" s="643"/>
      <c r="G2" s="643"/>
      <c r="H2" s="643" t="s">
        <v>908</v>
      </c>
      <c r="I2" s="643"/>
      <c r="J2" s="643"/>
      <c r="K2" s="643"/>
      <c r="L2" s="643"/>
      <c r="M2" s="643"/>
      <c r="N2" s="643"/>
      <c r="O2" s="643"/>
      <c r="P2" s="643"/>
    </row>
    <row r="3" spans="1:24" s="448" customFormat="1" ht="15" customHeight="1" thickBot="1">
      <c r="A3" s="435"/>
      <c r="B3" s="435"/>
      <c r="C3" s="435"/>
      <c r="D3" s="435"/>
      <c r="E3" s="435"/>
      <c r="F3" s="435"/>
      <c r="G3" s="260" t="s">
        <v>940</v>
      </c>
      <c r="H3" s="435"/>
      <c r="I3" s="435"/>
      <c r="J3" s="435"/>
      <c r="K3" s="260"/>
      <c r="L3" s="429"/>
      <c r="M3" s="435"/>
      <c r="N3" s="435"/>
      <c r="O3" s="435"/>
      <c r="P3" s="260" t="s">
        <v>909</v>
      </c>
    </row>
    <row r="4" spans="1:24" s="448" customFormat="1" ht="18.600000000000001" customHeight="1">
      <c r="A4" s="681" t="s">
        <v>506</v>
      </c>
      <c r="B4" s="826" t="s">
        <v>1078</v>
      </c>
      <c r="C4" s="827"/>
      <c r="D4" s="827"/>
      <c r="E4" s="827"/>
      <c r="F4" s="828"/>
      <c r="G4" s="852" t="s">
        <v>910</v>
      </c>
      <c r="H4" s="853"/>
      <c r="I4" s="853"/>
      <c r="J4" s="853"/>
      <c r="K4" s="1001"/>
      <c r="L4" s="852" t="s">
        <v>941</v>
      </c>
      <c r="M4" s="853"/>
      <c r="N4" s="853"/>
      <c r="O4" s="853"/>
      <c r="P4" s="853"/>
    </row>
    <row r="5" spans="1:24" s="448" customFormat="1" ht="27" customHeight="1">
      <c r="A5" s="682"/>
      <c r="B5" s="437" t="s">
        <v>942</v>
      </c>
      <c r="C5" s="432" t="s">
        <v>943</v>
      </c>
      <c r="D5" s="432" t="s">
        <v>1121</v>
      </c>
      <c r="E5" s="432" t="s">
        <v>1302</v>
      </c>
      <c r="F5" s="432" t="s">
        <v>944</v>
      </c>
      <c r="G5" s="432" t="s">
        <v>942</v>
      </c>
      <c r="H5" s="440" t="s">
        <v>943</v>
      </c>
      <c r="I5" s="295" t="s">
        <v>1079</v>
      </c>
      <c r="J5" s="432" t="s">
        <v>1302</v>
      </c>
      <c r="K5" s="432" t="s">
        <v>944</v>
      </c>
      <c r="L5" s="432" t="s">
        <v>942</v>
      </c>
      <c r="M5" s="432" t="s">
        <v>943</v>
      </c>
      <c r="N5" s="432" t="s">
        <v>1121</v>
      </c>
      <c r="O5" s="432" t="s">
        <v>1302</v>
      </c>
      <c r="P5" s="442" t="s">
        <v>944</v>
      </c>
    </row>
    <row r="6" spans="1:24" s="447" customFormat="1" ht="39.950000000000003" customHeight="1" thickBot="1">
      <c r="A6" s="701"/>
      <c r="B6" s="267" t="s">
        <v>911</v>
      </c>
      <c r="C6" s="95" t="s">
        <v>361</v>
      </c>
      <c r="D6" s="95" t="s">
        <v>912</v>
      </c>
      <c r="E6" s="95" t="s">
        <v>913</v>
      </c>
      <c r="F6" s="268" t="s">
        <v>74</v>
      </c>
      <c r="G6" s="95" t="s">
        <v>911</v>
      </c>
      <c r="H6" s="94" t="s">
        <v>361</v>
      </c>
      <c r="I6" s="269" t="s">
        <v>912</v>
      </c>
      <c r="J6" s="95" t="s">
        <v>913</v>
      </c>
      <c r="K6" s="95" t="s">
        <v>74</v>
      </c>
      <c r="L6" s="95" t="s">
        <v>911</v>
      </c>
      <c r="M6" s="95" t="s">
        <v>361</v>
      </c>
      <c r="N6" s="269" t="s">
        <v>912</v>
      </c>
      <c r="O6" s="95" t="s">
        <v>913</v>
      </c>
      <c r="P6" s="268" t="s">
        <v>74</v>
      </c>
    </row>
    <row r="7" spans="1:24" ht="32.65" customHeight="1">
      <c r="A7" s="270" t="s">
        <v>507</v>
      </c>
      <c r="B7" s="290">
        <v>2.97</v>
      </c>
      <c r="C7" s="290">
        <v>0</v>
      </c>
      <c r="D7" s="290">
        <v>0</v>
      </c>
      <c r="E7" s="290">
        <v>0</v>
      </c>
      <c r="F7" s="290">
        <v>0</v>
      </c>
      <c r="G7" s="290" t="s">
        <v>57</v>
      </c>
      <c r="H7" s="290" t="s">
        <v>57</v>
      </c>
      <c r="I7" s="290" t="s">
        <v>57</v>
      </c>
      <c r="J7" s="290" t="s">
        <v>57</v>
      </c>
      <c r="K7" s="290" t="s">
        <v>57</v>
      </c>
      <c r="L7" s="290" t="s">
        <v>57</v>
      </c>
      <c r="M7" s="290" t="s">
        <v>57</v>
      </c>
      <c r="N7" s="290" t="s">
        <v>57</v>
      </c>
      <c r="O7" s="290" t="s">
        <v>57</v>
      </c>
      <c r="P7" s="290" t="s">
        <v>57</v>
      </c>
    </row>
    <row r="8" spans="1:24" ht="32.65" customHeight="1">
      <c r="A8" s="270" t="s">
        <v>508</v>
      </c>
      <c r="B8" s="290">
        <v>2.4</v>
      </c>
      <c r="C8" s="290">
        <v>0</v>
      </c>
      <c r="D8" s="290">
        <v>0</v>
      </c>
      <c r="E8" s="290">
        <v>0</v>
      </c>
      <c r="F8" s="290">
        <v>1</v>
      </c>
      <c r="G8" s="290" t="s">
        <v>1415</v>
      </c>
      <c r="H8" s="290" t="s">
        <v>1415</v>
      </c>
      <c r="I8" s="290" t="s">
        <v>57</v>
      </c>
      <c r="J8" s="290" t="s">
        <v>57</v>
      </c>
      <c r="K8" s="290" t="s">
        <v>57</v>
      </c>
      <c r="L8" s="290" t="s">
        <v>57</v>
      </c>
      <c r="M8" s="290" t="s">
        <v>57</v>
      </c>
      <c r="N8" s="290" t="s">
        <v>57</v>
      </c>
      <c r="O8" s="290" t="s">
        <v>57</v>
      </c>
      <c r="P8" s="290" t="s">
        <v>57</v>
      </c>
    </row>
    <row r="9" spans="1:24" ht="32.65" customHeight="1">
      <c r="A9" s="270" t="s">
        <v>509</v>
      </c>
      <c r="B9" s="290">
        <v>8.0299999999999994</v>
      </c>
      <c r="C9" s="290">
        <v>5</v>
      </c>
      <c r="D9" s="290">
        <v>0</v>
      </c>
      <c r="E9" s="290">
        <v>0</v>
      </c>
      <c r="F9" s="290">
        <v>5</v>
      </c>
      <c r="G9" s="290" t="s">
        <v>57</v>
      </c>
      <c r="H9" s="290" t="s">
        <v>57</v>
      </c>
      <c r="I9" s="290" t="s">
        <v>57</v>
      </c>
      <c r="J9" s="290" t="s">
        <v>57</v>
      </c>
      <c r="K9" s="290" t="s">
        <v>1415</v>
      </c>
      <c r="L9" s="290" t="s">
        <v>57</v>
      </c>
      <c r="M9" s="290" t="s">
        <v>57</v>
      </c>
      <c r="N9" s="290" t="s">
        <v>57</v>
      </c>
      <c r="O9" s="290" t="s">
        <v>57</v>
      </c>
      <c r="P9" s="290" t="s">
        <v>57</v>
      </c>
    </row>
    <row r="10" spans="1:24" ht="32.65" customHeight="1">
      <c r="A10" s="270" t="s">
        <v>510</v>
      </c>
      <c r="B10" s="290">
        <v>6.1</v>
      </c>
      <c r="C10" s="290">
        <v>4.2</v>
      </c>
      <c r="D10" s="290">
        <v>0</v>
      </c>
      <c r="E10" s="290">
        <v>2</v>
      </c>
      <c r="F10" s="290">
        <v>3</v>
      </c>
      <c r="G10" s="290" t="s">
        <v>57</v>
      </c>
      <c r="H10" s="290" t="s">
        <v>57</v>
      </c>
      <c r="I10" s="290" t="s">
        <v>57</v>
      </c>
      <c r="J10" s="290" t="s">
        <v>57</v>
      </c>
      <c r="K10" s="290" t="s">
        <v>57</v>
      </c>
      <c r="L10" s="290" t="s">
        <v>57</v>
      </c>
      <c r="M10" s="290" t="s">
        <v>57</v>
      </c>
      <c r="N10" s="290" t="s">
        <v>57</v>
      </c>
      <c r="O10" s="290" t="s">
        <v>57</v>
      </c>
      <c r="P10" s="290" t="s">
        <v>57</v>
      </c>
    </row>
    <row r="11" spans="1:24" ht="32.65" customHeight="1">
      <c r="A11" s="270" t="s">
        <v>511</v>
      </c>
      <c r="B11" s="290">
        <v>6.18</v>
      </c>
      <c r="C11" s="290">
        <v>6.11</v>
      </c>
      <c r="D11" s="290">
        <v>0.44</v>
      </c>
      <c r="E11" s="290">
        <v>0</v>
      </c>
      <c r="F11" s="290">
        <v>1.61</v>
      </c>
      <c r="G11" s="290" t="s">
        <v>57</v>
      </c>
      <c r="H11" s="290" t="s">
        <v>57</v>
      </c>
      <c r="I11" s="290" t="s">
        <v>1415</v>
      </c>
      <c r="J11" s="290" t="s">
        <v>57</v>
      </c>
      <c r="K11" s="290" t="s">
        <v>57</v>
      </c>
      <c r="L11" s="290" t="s">
        <v>57</v>
      </c>
      <c r="M11" s="290" t="s">
        <v>57</v>
      </c>
      <c r="N11" s="290" t="s">
        <v>57</v>
      </c>
      <c r="O11" s="290" t="s">
        <v>57</v>
      </c>
      <c r="P11" s="290" t="s">
        <v>57</v>
      </c>
    </row>
    <row r="12" spans="1:24" ht="32.65" customHeight="1">
      <c r="A12" s="270" t="s">
        <v>512</v>
      </c>
      <c r="B12" s="290">
        <v>6.8</v>
      </c>
      <c r="C12" s="290">
        <v>0.2</v>
      </c>
      <c r="D12" s="290">
        <v>2</v>
      </c>
      <c r="E12" s="290">
        <v>0</v>
      </c>
      <c r="F12" s="290">
        <v>2.7</v>
      </c>
      <c r="G12" s="290" t="s">
        <v>57</v>
      </c>
      <c r="H12" s="290" t="s">
        <v>57</v>
      </c>
      <c r="I12" s="290" t="s">
        <v>57</v>
      </c>
      <c r="J12" s="290" t="s">
        <v>57</v>
      </c>
      <c r="K12" s="290" t="s">
        <v>57</v>
      </c>
      <c r="L12" s="290" t="s">
        <v>57</v>
      </c>
      <c r="M12" s="290" t="s">
        <v>57</v>
      </c>
      <c r="N12" s="290" t="s">
        <v>57</v>
      </c>
      <c r="O12" s="290" t="s">
        <v>57</v>
      </c>
      <c r="P12" s="290" t="s">
        <v>57</v>
      </c>
    </row>
    <row r="13" spans="1:24" s="46" customFormat="1" ht="32.65" customHeight="1">
      <c r="A13" s="270" t="s">
        <v>513</v>
      </c>
      <c r="B13" s="290">
        <v>6.35</v>
      </c>
      <c r="C13" s="290">
        <v>4</v>
      </c>
      <c r="D13" s="290">
        <v>3</v>
      </c>
      <c r="E13" s="290">
        <v>1</v>
      </c>
      <c r="F13" s="290">
        <v>1.5</v>
      </c>
      <c r="G13" s="290">
        <v>28</v>
      </c>
      <c r="H13" s="290">
        <v>126</v>
      </c>
      <c r="I13" s="290">
        <v>28.5</v>
      </c>
      <c r="J13" s="290">
        <v>32.5</v>
      </c>
      <c r="K13" s="290">
        <v>1.5</v>
      </c>
      <c r="L13" s="290">
        <v>62.04</v>
      </c>
      <c r="M13" s="290">
        <v>6</v>
      </c>
      <c r="N13" s="290">
        <v>4.5</v>
      </c>
      <c r="O13" s="290">
        <v>0</v>
      </c>
      <c r="P13" s="290">
        <v>36.71</v>
      </c>
    </row>
    <row r="14" spans="1:24" ht="32.65" customHeight="1">
      <c r="A14" s="270" t="s">
        <v>877</v>
      </c>
      <c r="B14" s="290">
        <v>6.65</v>
      </c>
      <c r="C14" s="290">
        <v>4.0999999999999996</v>
      </c>
      <c r="D14" s="290">
        <v>1</v>
      </c>
      <c r="E14" s="290">
        <v>1</v>
      </c>
      <c r="F14" s="290">
        <v>1.3</v>
      </c>
      <c r="G14" s="290">
        <v>6.98</v>
      </c>
      <c r="H14" s="290">
        <v>164.1</v>
      </c>
      <c r="I14" s="290">
        <v>31</v>
      </c>
      <c r="J14" s="290">
        <v>7</v>
      </c>
      <c r="K14" s="290">
        <v>14.55</v>
      </c>
      <c r="L14" s="290">
        <v>56.230000000000004</v>
      </c>
      <c r="M14" s="290">
        <v>6</v>
      </c>
      <c r="N14" s="290">
        <v>4</v>
      </c>
      <c r="O14" s="290">
        <v>0</v>
      </c>
      <c r="P14" s="290">
        <v>49.459999999999994</v>
      </c>
      <c r="Q14" s="271"/>
      <c r="R14" s="271"/>
      <c r="S14" s="271"/>
      <c r="T14" s="271"/>
      <c r="U14" s="271"/>
      <c r="V14" s="271"/>
      <c r="W14" s="271"/>
      <c r="X14" s="271"/>
    </row>
    <row r="15" spans="1:24" ht="32.65" customHeight="1">
      <c r="A15" s="270" t="s">
        <v>1048</v>
      </c>
      <c r="B15" s="290">
        <v>12.25</v>
      </c>
      <c r="C15" s="290">
        <v>2</v>
      </c>
      <c r="D15" s="290">
        <v>1</v>
      </c>
      <c r="E15" s="292">
        <v>0</v>
      </c>
      <c r="F15" s="292">
        <v>0</v>
      </c>
      <c r="G15" s="290">
        <v>21.67</v>
      </c>
      <c r="H15" s="290">
        <v>183</v>
      </c>
      <c r="I15" s="290">
        <v>50</v>
      </c>
      <c r="J15" s="290">
        <v>17</v>
      </c>
      <c r="K15" s="290">
        <v>7</v>
      </c>
      <c r="L15" s="290">
        <v>41.8</v>
      </c>
      <c r="M15" s="290">
        <v>5</v>
      </c>
      <c r="N15" s="290">
        <v>7</v>
      </c>
      <c r="O15" s="290">
        <v>0</v>
      </c>
      <c r="P15" s="290">
        <v>26</v>
      </c>
    </row>
    <row r="16" spans="1:24" ht="32.65" customHeight="1">
      <c r="A16" s="270" t="s">
        <v>1244</v>
      </c>
      <c r="B16" s="290">
        <f>B17+B25+B28</f>
        <v>6.9</v>
      </c>
      <c r="C16" s="290">
        <f t="shared" ref="C16:P16" si="0">C17+C25+C28</f>
        <v>2</v>
      </c>
      <c r="D16" s="290">
        <f t="shared" si="0"/>
        <v>1</v>
      </c>
      <c r="E16" s="290">
        <f t="shared" si="0"/>
        <v>0</v>
      </c>
      <c r="F16" s="290">
        <f t="shared" si="0"/>
        <v>1</v>
      </c>
      <c r="G16" s="290">
        <f t="shared" si="0"/>
        <v>25.25</v>
      </c>
      <c r="H16" s="290">
        <f t="shared" si="0"/>
        <v>170</v>
      </c>
      <c r="I16" s="290">
        <f t="shared" si="0"/>
        <v>71</v>
      </c>
      <c r="J16" s="290">
        <f t="shared" si="0"/>
        <v>25</v>
      </c>
      <c r="K16" s="290">
        <f t="shared" si="0"/>
        <v>11</v>
      </c>
      <c r="L16" s="290">
        <f t="shared" si="0"/>
        <v>49.5</v>
      </c>
      <c r="M16" s="290">
        <f t="shared" si="0"/>
        <v>4</v>
      </c>
      <c r="N16" s="290">
        <f t="shared" si="0"/>
        <v>5</v>
      </c>
      <c r="O16" s="290">
        <f t="shared" si="0"/>
        <v>0</v>
      </c>
      <c r="P16" s="290">
        <f t="shared" si="0"/>
        <v>24</v>
      </c>
    </row>
    <row r="17" spans="1:16" ht="33" customHeight="1">
      <c r="A17" s="270" t="s">
        <v>518</v>
      </c>
      <c r="B17" s="355">
        <f>SUM(B18:B23)</f>
        <v>3.9</v>
      </c>
      <c r="C17" s="355">
        <f t="shared" ref="C17:P17" si="1">SUM(C18:C23)</f>
        <v>1</v>
      </c>
      <c r="D17" s="355">
        <f t="shared" si="1"/>
        <v>1</v>
      </c>
      <c r="E17" s="355">
        <f t="shared" si="1"/>
        <v>0</v>
      </c>
      <c r="F17" s="355">
        <f t="shared" si="1"/>
        <v>1</v>
      </c>
      <c r="G17" s="355">
        <f t="shared" si="1"/>
        <v>11.25</v>
      </c>
      <c r="H17" s="355">
        <f t="shared" si="1"/>
        <v>70</v>
      </c>
      <c r="I17" s="355">
        <f t="shared" si="1"/>
        <v>42</v>
      </c>
      <c r="J17" s="355">
        <f t="shared" si="1"/>
        <v>0</v>
      </c>
      <c r="K17" s="355">
        <f>SUM(K18:K23)</f>
        <v>11</v>
      </c>
      <c r="L17" s="355">
        <f>SUM(L18:L23)</f>
        <v>49.5</v>
      </c>
      <c r="M17" s="355">
        <f>SUM(M18:M23)</f>
        <v>4</v>
      </c>
      <c r="N17" s="355">
        <f>SUM(N18:N23)</f>
        <v>5</v>
      </c>
      <c r="O17" s="355">
        <f>SUM(O18:O23)</f>
        <v>0</v>
      </c>
      <c r="P17" s="355">
        <f t="shared" si="1"/>
        <v>24</v>
      </c>
    </row>
    <row r="18" spans="1:16" ht="11.65" customHeight="1">
      <c r="A18" s="356" t="s">
        <v>914</v>
      </c>
      <c r="B18" s="355"/>
      <c r="C18" s="370"/>
      <c r="D18" s="370"/>
      <c r="E18" s="370"/>
      <c r="F18" s="370"/>
      <c r="G18" s="370"/>
      <c r="H18" s="370"/>
      <c r="I18" s="370"/>
      <c r="J18" s="370"/>
      <c r="K18" s="371"/>
      <c r="L18" s="370"/>
      <c r="M18" s="370"/>
      <c r="N18" s="370"/>
      <c r="O18" s="370"/>
      <c r="P18" s="355"/>
    </row>
    <row r="19" spans="1:16" ht="33" customHeight="1">
      <c r="A19" s="270" t="s">
        <v>915</v>
      </c>
      <c r="B19" s="355">
        <v>2.25</v>
      </c>
      <c r="C19" s="355">
        <v>1</v>
      </c>
      <c r="D19" s="355">
        <v>1</v>
      </c>
      <c r="E19" s="372">
        <v>0</v>
      </c>
      <c r="F19" s="515">
        <v>1</v>
      </c>
      <c r="G19" s="355">
        <v>0</v>
      </c>
      <c r="H19" s="355">
        <v>0</v>
      </c>
      <c r="I19" s="355">
        <v>0</v>
      </c>
      <c r="J19" s="355">
        <v>0</v>
      </c>
      <c r="K19" s="355">
        <v>0</v>
      </c>
      <c r="L19" s="355">
        <v>49.5</v>
      </c>
      <c r="M19" s="355">
        <v>4</v>
      </c>
      <c r="N19" s="355">
        <v>5</v>
      </c>
      <c r="O19" s="355">
        <v>0</v>
      </c>
      <c r="P19" s="355">
        <v>24</v>
      </c>
    </row>
    <row r="20" spans="1:16" ht="11.65" customHeight="1">
      <c r="A20" s="270" t="s">
        <v>916</v>
      </c>
      <c r="B20" s="355"/>
      <c r="C20" s="370"/>
      <c r="D20" s="370"/>
      <c r="E20" s="370"/>
      <c r="F20" s="370"/>
      <c r="G20" s="355"/>
      <c r="H20" s="355"/>
      <c r="I20" s="355"/>
      <c r="J20" s="355"/>
      <c r="K20" s="355"/>
      <c r="L20" s="370"/>
      <c r="M20" s="370"/>
      <c r="N20" s="370"/>
      <c r="O20" s="370"/>
      <c r="P20" s="355"/>
    </row>
    <row r="21" spans="1:16" ht="33" customHeight="1">
      <c r="A21" s="270" t="s">
        <v>917</v>
      </c>
      <c r="B21" s="355">
        <v>1.65</v>
      </c>
      <c r="C21" s="355">
        <v>0</v>
      </c>
      <c r="D21" s="355">
        <v>0</v>
      </c>
      <c r="E21" s="355">
        <v>0</v>
      </c>
      <c r="F21" s="355">
        <v>0</v>
      </c>
      <c r="G21" s="355">
        <v>1.25</v>
      </c>
      <c r="H21" s="355">
        <v>0</v>
      </c>
      <c r="I21" s="355">
        <v>0</v>
      </c>
      <c r="J21" s="355">
        <v>0</v>
      </c>
      <c r="K21" s="355">
        <v>0</v>
      </c>
      <c r="L21" s="355">
        <v>0</v>
      </c>
      <c r="M21" s="355">
        <v>0</v>
      </c>
      <c r="N21" s="355">
        <v>0</v>
      </c>
      <c r="O21" s="355">
        <v>0</v>
      </c>
      <c r="P21" s="355">
        <v>0</v>
      </c>
    </row>
    <row r="22" spans="1:16" ht="11.65" customHeight="1">
      <c r="A22" s="270" t="s">
        <v>918</v>
      </c>
      <c r="B22" s="355"/>
      <c r="C22" s="355"/>
      <c r="D22" s="355"/>
      <c r="E22" s="355"/>
      <c r="F22" s="355"/>
      <c r="G22" s="355"/>
      <c r="H22" s="355"/>
      <c r="I22" s="355"/>
      <c r="J22" s="355"/>
      <c r="K22" s="355"/>
      <c r="L22" s="355"/>
      <c r="M22" s="355"/>
      <c r="N22" s="355"/>
      <c r="O22" s="355"/>
      <c r="P22" s="355"/>
    </row>
    <row r="23" spans="1:16" ht="33" customHeight="1">
      <c r="A23" s="270" t="s">
        <v>1080</v>
      </c>
      <c r="B23" s="355">
        <v>0</v>
      </c>
      <c r="C23" s="355">
        <v>0</v>
      </c>
      <c r="D23" s="355">
        <v>0</v>
      </c>
      <c r="E23" s="355">
        <v>0</v>
      </c>
      <c r="F23" s="355">
        <v>0</v>
      </c>
      <c r="G23" s="355">
        <v>10</v>
      </c>
      <c r="H23" s="355">
        <v>70</v>
      </c>
      <c r="I23" s="355">
        <v>42</v>
      </c>
      <c r="J23" s="355">
        <v>0</v>
      </c>
      <c r="K23" s="355">
        <v>11</v>
      </c>
      <c r="L23" s="355">
        <v>0</v>
      </c>
      <c r="M23" s="355">
        <v>0</v>
      </c>
      <c r="N23" s="355">
        <v>0</v>
      </c>
      <c r="O23" s="355">
        <v>0</v>
      </c>
      <c r="P23" s="355">
        <v>0</v>
      </c>
    </row>
    <row r="24" spans="1:16" ht="11.65" customHeight="1">
      <c r="A24" s="270" t="s">
        <v>919</v>
      </c>
      <c r="B24" s="355"/>
      <c r="C24" s="355"/>
      <c r="D24" s="355"/>
      <c r="E24" s="355"/>
      <c r="F24" s="355"/>
      <c r="G24" s="355"/>
      <c r="H24" s="355"/>
      <c r="I24" s="355"/>
      <c r="J24" s="355"/>
      <c r="K24" s="355"/>
      <c r="L24" s="355"/>
      <c r="M24" s="355"/>
      <c r="N24" s="355"/>
      <c r="O24" s="355"/>
      <c r="P24" s="355"/>
    </row>
    <row r="25" spans="1:16" ht="33" customHeight="1">
      <c r="A25" s="270" t="s">
        <v>920</v>
      </c>
      <c r="B25" s="355">
        <v>0</v>
      </c>
      <c r="C25" s="355">
        <v>0</v>
      </c>
      <c r="D25" s="355">
        <v>0</v>
      </c>
      <c r="E25" s="355">
        <v>0</v>
      </c>
      <c r="F25" s="355">
        <v>0</v>
      </c>
      <c r="G25" s="355">
        <v>0</v>
      </c>
      <c r="H25" s="355">
        <v>0</v>
      </c>
      <c r="I25" s="355">
        <v>0</v>
      </c>
      <c r="J25" s="355">
        <v>0</v>
      </c>
      <c r="K25" s="355">
        <v>0</v>
      </c>
      <c r="L25" s="355">
        <v>0</v>
      </c>
      <c r="M25" s="355">
        <v>0</v>
      </c>
      <c r="N25" s="355">
        <v>0</v>
      </c>
      <c r="O25" s="355">
        <v>0</v>
      </c>
      <c r="P25" s="355">
        <v>0</v>
      </c>
    </row>
    <row r="26" spans="1:16" ht="11.65" customHeight="1">
      <c r="A26" s="270" t="s">
        <v>921</v>
      </c>
      <c r="B26" s="355"/>
      <c r="C26" s="355"/>
      <c r="D26" s="355"/>
      <c r="E26" s="355"/>
      <c r="F26" s="355"/>
      <c r="G26" s="355"/>
      <c r="H26" s="355"/>
      <c r="I26" s="355"/>
      <c r="J26" s="355"/>
      <c r="K26" s="355"/>
      <c r="L26" s="355"/>
      <c r="M26" s="355"/>
      <c r="N26" s="355"/>
      <c r="O26" s="355"/>
      <c r="P26" s="355"/>
    </row>
    <row r="27" spans="1:16" ht="11.65" customHeight="1">
      <c r="A27" s="270" t="s">
        <v>922</v>
      </c>
      <c r="B27" s="355"/>
      <c r="C27" s="355"/>
      <c r="D27" s="355"/>
      <c r="E27" s="355"/>
      <c r="F27" s="371"/>
      <c r="G27" s="355"/>
      <c r="H27" s="355"/>
      <c r="I27" s="355"/>
      <c r="J27" s="355"/>
      <c r="K27" s="355"/>
      <c r="L27" s="355"/>
      <c r="M27" s="355"/>
      <c r="N27" s="355"/>
      <c r="O27" s="355"/>
      <c r="P27" s="355"/>
    </row>
    <row r="28" spans="1:16" ht="33" customHeight="1">
      <c r="A28" s="270" t="s">
        <v>1081</v>
      </c>
      <c r="B28" s="355">
        <v>3</v>
      </c>
      <c r="C28" s="355">
        <v>1</v>
      </c>
      <c r="D28" s="355">
        <v>0</v>
      </c>
      <c r="E28" s="355">
        <v>0</v>
      </c>
      <c r="F28" s="355">
        <v>0</v>
      </c>
      <c r="G28" s="355">
        <v>14</v>
      </c>
      <c r="H28" s="355">
        <v>100</v>
      </c>
      <c r="I28" s="355">
        <v>29</v>
      </c>
      <c r="J28" s="355">
        <v>25</v>
      </c>
      <c r="K28" s="355">
        <v>0</v>
      </c>
      <c r="L28" s="355">
        <v>0</v>
      </c>
      <c r="M28" s="355">
        <v>0</v>
      </c>
      <c r="N28" s="355">
        <v>0</v>
      </c>
      <c r="O28" s="355">
        <v>0</v>
      </c>
      <c r="P28" s="355">
        <v>0</v>
      </c>
    </row>
    <row r="29" spans="1:16" ht="11.65" customHeight="1">
      <c r="A29" s="270" t="s">
        <v>1077</v>
      </c>
      <c r="B29" s="373"/>
      <c r="C29" s="373"/>
      <c r="D29" s="373"/>
      <c r="E29" s="373"/>
      <c r="F29" s="373"/>
      <c r="G29" s="373"/>
      <c r="H29" s="373"/>
      <c r="I29" s="373"/>
      <c r="J29" s="373"/>
      <c r="K29" s="78"/>
      <c r="L29" s="78"/>
      <c r="M29" s="78"/>
      <c r="N29" s="78"/>
      <c r="O29" s="78"/>
      <c r="P29" s="78"/>
    </row>
    <row r="30" spans="1:16" ht="11.65" customHeight="1" thickBot="1">
      <c r="A30" s="360" t="s">
        <v>1049</v>
      </c>
      <c r="B30" s="374"/>
      <c r="C30" s="374"/>
      <c r="D30" s="374"/>
      <c r="E30" s="374"/>
      <c r="F30" s="374"/>
      <c r="G30" s="374"/>
      <c r="H30" s="374"/>
      <c r="I30" s="374"/>
      <c r="J30" s="374"/>
      <c r="K30" s="374"/>
      <c r="L30" s="374"/>
      <c r="M30" s="374"/>
      <c r="N30" s="374"/>
      <c r="O30" s="374"/>
      <c r="P30" s="374"/>
    </row>
    <row r="31" spans="1:16" s="448" customFormat="1">
      <c r="A31" s="98" t="s">
        <v>945</v>
      </c>
      <c r="B31" s="98"/>
      <c r="C31" s="98"/>
      <c r="D31" s="98"/>
      <c r="E31" s="98"/>
      <c r="F31" s="98"/>
      <c r="G31" s="98"/>
      <c r="H31" s="102" t="s">
        <v>923</v>
      </c>
      <c r="I31" s="98"/>
      <c r="J31" s="98"/>
      <c r="K31" s="98"/>
    </row>
    <row r="32" spans="1:16" s="448" customFormat="1"/>
    <row r="33" s="448" customFormat="1"/>
    <row r="34" s="448" customFormat="1"/>
    <row r="35" s="448" customFormat="1"/>
    <row r="36" s="448" customFormat="1"/>
    <row r="37" s="448" customFormat="1"/>
    <row r="38" s="448" customFormat="1"/>
    <row r="39" s="448" customFormat="1"/>
    <row r="40" s="448" customFormat="1"/>
    <row r="41" s="448" customFormat="1"/>
    <row r="42" s="448" customFormat="1"/>
  </sheetData>
  <mergeCells count="6">
    <mergeCell ref="A4:A6"/>
    <mergeCell ref="B4:F4"/>
    <mergeCell ref="G4:K4"/>
    <mergeCell ref="L4:P4"/>
    <mergeCell ref="A2:G2"/>
    <mergeCell ref="H2:P2"/>
  </mergeCells>
  <phoneticPr fontId="6" type="noConversion"/>
  <printOptions horizontalCentered="1"/>
  <pageMargins left="0.6692913385826772" right="0.6692913385826772" top="0.6692913385826772" bottom="0.6692913385826772" header="0.27559055118110237" footer="0.27559055118110237"/>
  <pageSetup paperSize="9" firstPageNumber="352" orientation="portrait" useFirstPageNumber="1" r:id="rId1"/>
  <headerFooter alignWithMargins="0"/>
  <colBreaks count="1" manualBreakCount="1">
    <brk id="7" max="44" man="1"/>
  </colBreaks>
</worksheet>
</file>

<file path=xl/worksheets/sheet3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工作表33"/>
  <dimension ref="A1:U22"/>
  <sheetViews>
    <sheetView showGridLines="0" view="pageBreakPreview" zoomScale="80" zoomScaleNormal="120" zoomScaleSheetLayoutView="80" workbookViewId="0">
      <pane xSplit="1" ySplit="8" topLeftCell="B9" activePane="bottomRight" state="frozen"/>
      <selection activeCell="U14" sqref="U14"/>
      <selection pane="topRight" activeCell="U14" sqref="U14"/>
      <selection pane="bottomLeft" activeCell="U14" sqref="U14"/>
      <selection pane="bottomRight" activeCell="B9" sqref="B9:P18"/>
    </sheetView>
  </sheetViews>
  <sheetFormatPr defaultRowHeight="12.75"/>
  <cols>
    <col min="1" max="1" width="10.625" style="8" customWidth="1"/>
    <col min="2" max="2" width="11.625" style="8" customWidth="1"/>
    <col min="3" max="8" width="10.625" style="8" customWidth="1"/>
    <col min="9" max="14" width="10.875" style="8" customWidth="1"/>
    <col min="15" max="15" width="11.875" style="8" customWidth="1"/>
    <col min="16" max="16" width="10.875" style="8" customWidth="1"/>
    <col min="17" max="16384" width="9" style="8"/>
  </cols>
  <sheetData>
    <row r="1" spans="1:17" ht="18" customHeight="1">
      <c r="A1" s="1" t="s">
        <v>934</v>
      </c>
      <c r="P1" s="9" t="s">
        <v>230</v>
      </c>
    </row>
    <row r="2" spans="1:17" s="517" customFormat="1" ht="24.95" customHeight="1">
      <c r="A2" s="1004" t="s">
        <v>938</v>
      </c>
      <c r="B2" s="1004"/>
      <c r="C2" s="1004"/>
      <c r="D2" s="1004"/>
      <c r="E2" s="1004"/>
      <c r="F2" s="1004"/>
      <c r="G2" s="1004"/>
      <c r="H2" s="1004"/>
      <c r="I2" s="1004" t="s">
        <v>366</v>
      </c>
      <c r="J2" s="1004"/>
      <c r="K2" s="1004"/>
      <c r="L2" s="1004"/>
      <c r="M2" s="1004"/>
      <c r="N2" s="1004"/>
      <c r="O2" s="1004"/>
      <c r="P2" s="1004"/>
    </row>
    <row r="3" spans="1:17" ht="15" customHeight="1" thickBot="1">
      <c r="K3" s="21"/>
    </row>
    <row r="4" spans="1:17" ht="21.95" customHeight="1">
      <c r="A4" s="1005" t="s">
        <v>453</v>
      </c>
      <c r="B4" s="1007" t="s">
        <v>488</v>
      </c>
      <c r="C4" s="1009" t="s">
        <v>455</v>
      </c>
      <c r="D4" s="1010"/>
      <c r="E4" s="1010"/>
      <c r="F4" s="1010"/>
      <c r="G4" s="1010"/>
      <c r="H4" s="1010"/>
      <c r="I4" s="1010" t="s">
        <v>367</v>
      </c>
      <c r="J4" s="1010"/>
      <c r="K4" s="1010"/>
      <c r="L4" s="1010"/>
      <c r="M4" s="1010"/>
      <c r="N4" s="1010"/>
      <c r="O4" s="1010"/>
      <c r="P4" s="1010"/>
      <c r="Q4" s="11"/>
    </row>
    <row r="5" spans="1:17" ht="21.95" customHeight="1">
      <c r="A5" s="1006"/>
      <c r="B5" s="1008"/>
      <c r="C5" s="1011" t="s">
        <v>458</v>
      </c>
      <c r="D5" s="1011"/>
      <c r="E5" s="1011"/>
      <c r="F5" s="1012"/>
      <c r="G5" s="1013" t="s">
        <v>489</v>
      </c>
      <c r="H5" s="1011"/>
      <c r="I5" s="1011" t="s">
        <v>368</v>
      </c>
      <c r="J5" s="1011"/>
      <c r="K5" s="1011"/>
      <c r="L5" s="1011"/>
      <c r="M5" s="1011"/>
      <c r="N5" s="1011"/>
      <c r="O5" s="1011"/>
      <c r="P5" s="1011"/>
      <c r="Q5" s="11"/>
    </row>
    <row r="6" spans="1:17" ht="21.95" customHeight="1">
      <c r="A6" s="1016" t="s">
        <v>201</v>
      </c>
      <c r="B6" s="1018" t="s">
        <v>369</v>
      </c>
      <c r="C6" s="1015" t="s">
        <v>370</v>
      </c>
      <c r="D6" s="1015"/>
      <c r="E6" s="1015"/>
      <c r="F6" s="1020"/>
      <c r="G6" s="1014"/>
      <c r="H6" s="1015"/>
      <c r="I6" s="1015"/>
      <c r="J6" s="1015"/>
      <c r="K6" s="1015"/>
      <c r="L6" s="1015"/>
      <c r="M6" s="1015"/>
      <c r="N6" s="1015"/>
      <c r="O6" s="1015"/>
      <c r="P6" s="1015"/>
      <c r="Q6" s="11"/>
    </row>
    <row r="7" spans="1:17" ht="21.95" customHeight="1">
      <c r="A7" s="1016"/>
      <c r="B7" s="1008"/>
      <c r="C7" s="13" t="s">
        <v>440</v>
      </c>
      <c r="D7" s="12" t="s">
        <v>464</v>
      </c>
      <c r="E7" s="12" t="s">
        <v>465</v>
      </c>
      <c r="F7" s="12" t="s">
        <v>466</v>
      </c>
      <c r="G7" s="12" t="s">
        <v>490</v>
      </c>
      <c r="H7" s="12" t="s">
        <v>491</v>
      </c>
      <c r="I7" s="13" t="s">
        <v>492</v>
      </c>
      <c r="J7" s="12" t="s">
        <v>493</v>
      </c>
      <c r="K7" s="12" t="s">
        <v>494</v>
      </c>
      <c r="L7" s="13" t="s">
        <v>495</v>
      </c>
      <c r="M7" s="12" t="s">
        <v>496</v>
      </c>
      <c r="N7" s="12" t="s">
        <v>497</v>
      </c>
      <c r="O7" s="12" t="s">
        <v>498</v>
      </c>
      <c r="P7" s="14" t="s">
        <v>499</v>
      </c>
      <c r="Q7" s="11"/>
    </row>
    <row r="8" spans="1:17" s="15" customFormat="1" ht="22.35" customHeight="1" thickBot="1">
      <c r="A8" s="1017"/>
      <c r="B8" s="1019"/>
      <c r="C8" s="22" t="s">
        <v>371</v>
      </c>
      <c r="D8" s="16" t="s">
        <v>372</v>
      </c>
      <c r="E8" s="16" t="s">
        <v>373</v>
      </c>
      <c r="F8" s="16" t="s">
        <v>374</v>
      </c>
      <c r="G8" s="16" t="s">
        <v>375</v>
      </c>
      <c r="H8" s="16" t="s">
        <v>376</v>
      </c>
      <c r="I8" s="22" t="s">
        <v>377</v>
      </c>
      <c r="J8" s="16" t="s">
        <v>378</v>
      </c>
      <c r="K8" s="16" t="s">
        <v>379</v>
      </c>
      <c r="L8" s="16" t="s">
        <v>380</v>
      </c>
      <c r="M8" s="16" t="s">
        <v>381</v>
      </c>
      <c r="N8" s="16" t="s">
        <v>382</v>
      </c>
      <c r="O8" s="16" t="s">
        <v>383</v>
      </c>
      <c r="P8" s="26" t="s">
        <v>374</v>
      </c>
      <c r="Q8" s="10"/>
    </row>
    <row r="9" spans="1:17" ht="60" customHeight="1">
      <c r="A9" s="518" t="s">
        <v>467</v>
      </c>
      <c r="B9" s="585">
        <v>1120</v>
      </c>
      <c r="C9" s="569">
        <v>958</v>
      </c>
      <c r="D9" s="569">
        <v>60</v>
      </c>
      <c r="E9" s="569">
        <v>884</v>
      </c>
      <c r="F9" s="569">
        <v>14</v>
      </c>
      <c r="G9" s="569">
        <v>34</v>
      </c>
      <c r="H9" s="569">
        <v>95</v>
      </c>
      <c r="I9" s="569">
        <v>481</v>
      </c>
      <c r="J9" s="569">
        <v>88</v>
      </c>
      <c r="K9" s="569">
        <v>77</v>
      </c>
      <c r="L9" s="569">
        <v>66</v>
      </c>
      <c r="M9" s="569">
        <v>28</v>
      </c>
      <c r="N9" s="569">
        <v>14</v>
      </c>
      <c r="O9" s="569">
        <v>1</v>
      </c>
      <c r="P9" s="569">
        <v>74</v>
      </c>
    </row>
    <row r="10" spans="1:17" ht="60" customHeight="1">
      <c r="A10" s="518" t="s">
        <v>500</v>
      </c>
      <c r="B10" s="585">
        <v>1233</v>
      </c>
      <c r="C10" s="569">
        <v>1016</v>
      </c>
      <c r="D10" s="569">
        <v>75</v>
      </c>
      <c r="E10" s="569">
        <v>925</v>
      </c>
      <c r="F10" s="569">
        <v>16</v>
      </c>
      <c r="G10" s="569">
        <v>33</v>
      </c>
      <c r="H10" s="569">
        <v>100</v>
      </c>
      <c r="I10" s="569">
        <v>480</v>
      </c>
      <c r="J10" s="569">
        <v>121</v>
      </c>
      <c r="K10" s="569">
        <v>76</v>
      </c>
      <c r="L10" s="569">
        <v>82</v>
      </c>
      <c r="M10" s="569">
        <v>22</v>
      </c>
      <c r="N10" s="569">
        <v>8</v>
      </c>
      <c r="O10" s="569">
        <v>2</v>
      </c>
      <c r="P10" s="569">
        <v>92</v>
      </c>
    </row>
    <row r="11" spans="1:17" ht="60" customHeight="1">
      <c r="A11" s="28" t="s">
        <v>501</v>
      </c>
      <c r="B11" s="569">
        <v>1629</v>
      </c>
      <c r="C11" s="573">
        <v>1307</v>
      </c>
      <c r="D11" s="573">
        <v>125</v>
      </c>
      <c r="E11" s="569">
        <v>1156</v>
      </c>
      <c r="F11" s="569">
        <v>26</v>
      </c>
      <c r="G11" s="569">
        <v>37</v>
      </c>
      <c r="H11" s="569">
        <v>102</v>
      </c>
      <c r="I11" s="573">
        <v>693</v>
      </c>
      <c r="J11" s="569">
        <v>129</v>
      </c>
      <c r="K11" s="569">
        <v>72</v>
      </c>
      <c r="L11" s="569">
        <v>83</v>
      </c>
      <c r="M11" s="569">
        <v>34</v>
      </c>
      <c r="N11" s="569">
        <v>22</v>
      </c>
      <c r="O11" s="569">
        <v>1</v>
      </c>
      <c r="P11" s="569">
        <v>134</v>
      </c>
    </row>
    <row r="12" spans="1:17" ht="60" customHeight="1">
      <c r="A12" s="28" t="s">
        <v>502</v>
      </c>
      <c r="B12" s="569">
        <v>1542</v>
      </c>
      <c r="C12" s="573">
        <v>1252</v>
      </c>
      <c r="D12" s="573">
        <v>97</v>
      </c>
      <c r="E12" s="573">
        <v>1090</v>
      </c>
      <c r="F12" s="569">
        <v>65</v>
      </c>
      <c r="G12" s="569">
        <v>40</v>
      </c>
      <c r="H12" s="569">
        <v>114</v>
      </c>
      <c r="I12" s="573">
        <v>641</v>
      </c>
      <c r="J12" s="569">
        <v>121</v>
      </c>
      <c r="K12" s="569">
        <v>56</v>
      </c>
      <c r="L12" s="569">
        <v>59</v>
      </c>
      <c r="M12" s="569">
        <v>41</v>
      </c>
      <c r="N12" s="569">
        <v>6</v>
      </c>
      <c r="O12" s="569">
        <v>4</v>
      </c>
      <c r="P12" s="569">
        <v>170</v>
      </c>
    </row>
    <row r="13" spans="1:17" s="18" customFormat="1" ht="60" customHeight="1">
      <c r="A13" s="28" t="s">
        <v>503</v>
      </c>
      <c r="B13" s="573">
        <v>1459</v>
      </c>
      <c r="C13" s="573">
        <v>1195</v>
      </c>
      <c r="D13" s="573">
        <v>134</v>
      </c>
      <c r="E13" s="573">
        <v>1016</v>
      </c>
      <c r="F13" s="573">
        <v>45</v>
      </c>
      <c r="G13" s="573">
        <v>29</v>
      </c>
      <c r="H13" s="573">
        <v>79</v>
      </c>
      <c r="I13" s="573">
        <v>602</v>
      </c>
      <c r="J13" s="573">
        <v>122</v>
      </c>
      <c r="K13" s="573">
        <v>71</v>
      </c>
      <c r="L13" s="573">
        <v>76</v>
      </c>
      <c r="M13" s="573">
        <v>36</v>
      </c>
      <c r="N13" s="573">
        <v>17</v>
      </c>
      <c r="O13" s="573" t="s">
        <v>240</v>
      </c>
      <c r="P13" s="573">
        <v>163</v>
      </c>
    </row>
    <row r="14" spans="1:17" s="18" customFormat="1" ht="60" customHeight="1">
      <c r="A14" s="28" t="s">
        <v>504</v>
      </c>
      <c r="B14" s="579">
        <v>1666</v>
      </c>
      <c r="C14" s="579">
        <v>1228</v>
      </c>
      <c r="D14" s="579">
        <v>178</v>
      </c>
      <c r="E14" s="579">
        <v>1001</v>
      </c>
      <c r="F14" s="579">
        <v>49</v>
      </c>
      <c r="G14" s="579">
        <v>30</v>
      </c>
      <c r="H14" s="579">
        <v>103</v>
      </c>
      <c r="I14" s="579">
        <v>680</v>
      </c>
      <c r="J14" s="579">
        <v>134</v>
      </c>
      <c r="K14" s="579">
        <v>59</v>
      </c>
      <c r="L14" s="579">
        <v>71</v>
      </c>
      <c r="M14" s="579">
        <v>27</v>
      </c>
      <c r="N14" s="579">
        <v>21</v>
      </c>
      <c r="O14" s="579">
        <v>3</v>
      </c>
      <c r="P14" s="579">
        <v>100</v>
      </c>
    </row>
    <row r="15" spans="1:17" ht="60" customHeight="1">
      <c r="A15" s="27" t="s">
        <v>505</v>
      </c>
      <c r="B15" s="569">
        <v>1602</v>
      </c>
      <c r="C15" s="569">
        <f>SUM(D15:F15)</f>
        <v>1210</v>
      </c>
      <c r="D15" s="569">
        <v>209</v>
      </c>
      <c r="E15" s="569">
        <v>979</v>
      </c>
      <c r="F15" s="569">
        <v>22</v>
      </c>
      <c r="G15" s="569">
        <v>24</v>
      </c>
      <c r="H15" s="569">
        <v>131</v>
      </c>
      <c r="I15" s="569">
        <v>691</v>
      </c>
      <c r="J15" s="569">
        <v>133</v>
      </c>
      <c r="K15" s="569">
        <v>67</v>
      </c>
      <c r="L15" s="569">
        <v>75</v>
      </c>
      <c r="M15" s="569">
        <v>32</v>
      </c>
      <c r="N15" s="569">
        <v>19</v>
      </c>
      <c r="O15" s="569">
        <v>7</v>
      </c>
      <c r="P15" s="569">
        <v>31</v>
      </c>
    </row>
    <row r="16" spans="1:17" ht="60" customHeight="1">
      <c r="A16" s="27" t="s">
        <v>798</v>
      </c>
      <c r="B16" s="569">
        <v>1255</v>
      </c>
      <c r="C16" s="569">
        <f>SUM(D16:F16)</f>
        <v>980</v>
      </c>
      <c r="D16" s="569">
        <v>159</v>
      </c>
      <c r="E16" s="569">
        <v>786</v>
      </c>
      <c r="F16" s="569">
        <v>35</v>
      </c>
      <c r="G16" s="569">
        <v>21</v>
      </c>
      <c r="H16" s="569">
        <v>94</v>
      </c>
      <c r="I16" s="569">
        <v>593</v>
      </c>
      <c r="J16" s="569">
        <v>101</v>
      </c>
      <c r="K16" s="569">
        <v>44</v>
      </c>
      <c r="L16" s="569">
        <v>61</v>
      </c>
      <c r="M16" s="569">
        <v>36</v>
      </c>
      <c r="N16" s="569">
        <v>11</v>
      </c>
      <c r="O16" s="569">
        <v>1</v>
      </c>
      <c r="P16" s="569">
        <v>18</v>
      </c>
    </row>
    <row r="17" spans="1:21" ht="60" customHeight="1">
      <c r="A17" s="27" t="s">
        <v>1045</v>
      </c>
      <c r="B17" s="585">
        <v>1278</v>
      </c>
      <c r="C17" s="569">
        <f>SUM(D17:F17)</f>
        <v>960</v>
      </c>
      <c r="D17" s="569">
        <v>158</v>
      </c>
      <c r="E17" s="569">
        <v>781</v>
      </c>
      <c r="F17" s="569">
        <v>21</v>
      </c>
      <c r="G17" s="569">
        <v>29</v>
      </c>
      <c r="H17" s="569">
        <v>87</v>
      </c>
      <c r="I17" s="569">
        <v>536</v>
      </c>
      <c r="J17" s="569">
        <v>110</v>
      </c>
      <c r="K17" s="569">
        <v>61</v>
      </c>
      <c r="L17" s="569">
        <v>65</v>
      </c>
      <c r="M17" s="569">
        <v>43</v>
      </c>
      <c r="N17" s="569">
        <v>12</v>
      </c>
      <c r="O17" s="569">
        <v>2</v>
      </c>
      <c r="P17" s="569">
        <v>15</v>
      </c>
    </row>
    <row r="18" spans="1:21" s="336" customFormat="1" ht="60" customHeight="1" thickBot="1">
      <c r="A18" s="375" t="s">
        <v>1242</v>
      </c>
      <c r="B18" s="341">
        <v>1622</v>
      </c>
      <c r="C18" s="341">
        <v>1184</v>
      </c>
      <c r="D18" s="341">
        <v>218</v>
      </c>
      <c r="E18" s="341">
        <v>940</v>
      </c>
      <c r="F18" s="341">
        <v>26</v>
      </c>
      <c r="G18" s="341">
        <v>41</v>
      </c>
      <c r="H18" s="341">
        <v>127</v>
      </c>
      <c r="I18" s="341">
        <v>622</v>
      </c>
      <c r="J18" s="341">
        <v>171</v>
      </c>
      <c r="K18" s="341">
        <v>62</v>
      </c>
      <c r="L18" s="341">
        <v>73</v>
      </c>
      <c r="M18" s="341">
        <v>44</v>
      </c>
      <c r="N18" s="341">
        <v>19</v>
      </c>
      <c r="O18" s="341">
        <v>2</v>
      </c>
      <c r="P18" s="341">
        <v>23</v>
      </c>
      <c r="Q18" s="31"/>
      <c r="R18" s="31"/>
      <c r="S18" s="31"/>
      <c r="T18" s="31"/>
      <c r="U18" s="31"/>
    </row>
    <row r="19" spans="1:21" ht="15" customHeight="1">
      <c r="A19" s="23" t="s">
        <v>937</v>
      </c>
      <c r="B19" s="24"/>
      <c r="C19" s="24"/>
      <c r="D19" s="24"/>
      <c r="E19" s="24"/>
      <c r="F19" s="24"/>
      <c r="G19" s="24"/>
      <c r="H19" s="24"/>
      <c r="I19" s="25" t="s">
        <v>206</v>
      </c>
      <c r="J19" s="24"/>
      <c r="K19" s="24"/>
      <c r="M19" s="24"/>
      <c r="P19" s="24"/>
      <c r="Q19" s="24"/>
      <c r="R19" s="24"/>
      <c r="S19" s="24"/>
      <c r="T19" s="24"/>
      <c r="U19" s="24"/>
    </row>
    <row r="20" spans="1:21" ht="15" customHeight="1">
      <c r="A20" s="20"/>
    </row>
    <row r="21" spans="1:21">
      <c r="A21" s="20"/>
    </row>
    <row r="22" spans="1:21">
      <c r="A22" s="20"/>
    </row>
  </sheetData>
  <mergeCells count="12">
    <mergeCell ref="A2:H2"/>
    <mergeCell ref="I2:P2"/>
    <mergeCell ref="A4:A5"/>
    <mergeCell ref="B4:B5"/>
    <mergeCell ref="C4:H4"/>
    <mergeCell ref="I4:P4"/>
    <mergeCell ref="C5:F5"/>
    <mergeCell ref="G5:H6"/>
    <mergeCell ref="I5:P6"/>
    <mergeCell ref="A6:A8"/>
    <mergeCell ref="B6:B8"/>
    <mergeCell ref="C6:F6"/>
  </mergeCells>
  <phoneticPr fontId="6" type="noConversion"/>
  <printOptions horizontalCentered="1"/>
  <pageMargins left="0.6692913385826772" right="0.6692913385826772" top="0.6692913385826772" bottom="0.6692913385826772" header="0.27559055118110237" footer="0.27559055118110237"/>
  <pageSetup paperSize="9" firstPageNumber="352" orientation="portrait" useFirstPageNumber="1" r:id="rId1"/>
  <headerFooter alignWithMargins="0"/>
  <ignoredErrors>
    <ignoredError sqref="C15:C16" formulaRange="1"/>
  </ignoredErrors>
  <legacyDrawing r:id="rId2"/>
</worksheet>
</file>

<file path=xl/worksheets/sheet3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工作表34"/>
  <dimension ref="A1:T26"/>
  <sheetViews>
    <sheetView showGridLines="0" view="pageBreakPreview" zoomScale="70" zoomScaleNormal="100" zoomScaleSheetLayoutView="70" workbookViewId="0">
      <pane xSplit="1" ySplit="10" topLeftCell="B11" activePane="bottomRight" state="frozen"/>
      <selection activeCell="U14" sqref="U14"/>
      <selection pane="topRight" activeCell="U14" sqref="U14"/>
      <selection pane="bottomLeft" activeCell="U14" sqref="U14"/>
      <selection pane="bottomRight" activeCell="B11" sqref="B11:T20"/>
    </sheetView>
  </sheetViews>
  <sheetFormatPr defaultRowHeight="12.75"/>
  <cols>
    <col min="1" max="1" width="9.625" style="452" customWidth="1"/>
    <col min="2" max="2" width="7.625" style="8" customWidth="1"/>
    <col min="3" max="3" width="8.625" style="8" customWidth="1"/>
    <col min="4" max="11" width="7.625" style="8" customWidth="1"/>
    <col min="12" max="14" width="8.5" style="8" customWidth="1"/>
    <col min="15" max="15" width="8.625" style="8" customWidth="1"/>
    <col min="16" max="17" width="12.625" style="8" customWidth="1"/>
    <col min="18" max="18" width="8.5" style="8" customWidth="1"/>
    <col min="19" max="19" width="11.375" style="8" customWidth="1"/>
    <col min="20" max="20" width="8.5" style="8" customWidth="1"/>
    <col min="21" max="16384" width="9" style="8"/>
  </cols>
  <sheetData>
    <row r="1" spans="1:20" s="452" customFormat="1" ht="18" customHeight="1">
      <c r="A1" s="90" t="s">
        <v>934</v>
      </c>
      <c r="T1" s="459" t="s">
        <v>227</v>
      </c>
    </row>
    <row r="2" spans="1:20" s="452" customFormat="1" ht="24.95" customHeight="1">
      <c r="A2" s="716" t="s">
        <v>936</v>
      </c>
      <c r="B2" s="716"/>
      <c r="C2" s="716"/>
      <c r="D2" s="716"/>
      <c r="E2" s="716"/>
      <c r="F2" s="716"/>
      <c r="G2" s="716"/>
      <c r="H2" s="716"/>
      <c r="I2" s="717"/>
      <c r="J2" s="717"/>
      <c r="K2" s="717"/>
      <c r="L2" s="716" t="s">
        <v>384</v>
      </c>
      <c r="M2" s="716"/>
      <c r="N2" s="716"/>
      <c r="O2" s="716"/>
      <c r="P2" s="716"/>
      <c r="Q2" s="716"/>
      <c r="R2" s="716"/>
      <c r="S2" s="716"/>
      <c r="T2" s="716"/>
    </row>
    <row r="3" spans="1:20" s="452" customFormat="1" ht="15" customHeight="1" thickBot="1">
      <c r="J3" s="471"/>
      <c r="K3" s="459" t="s">
        <v>935</v>
      </c>
      <c r="T3" s="459" t="s">
        <v>385</v>
      </c>
    </row>
    <row r="4" spans="1:20" s="452" customFormat="1" ht="20.100000000000001" customHeight="1">
      <c r="A4" s="808" t="s">
        <v>453</v>
      </c>
      <c r="B4" s="1021" t="s">
        <v>454</v>
      </c>
      <c r="C4" s="1022"/>
      <c r="D4" s="1022"/>
      <c r="E4" s="1022"/>
      <c r="F4" s="1022"/>
      <c r="G4" s="1022"/>
      <c r="H4" s="1022"/>
      <c r="I4" s="1022"/>
      <c r="J4" s="1022"/>
      <c r="K4" s="1022"/>
      <c r="L4" s="1022" t="s">
        <v>386</v>
      </c>
      <c r="M4" s="1022"/>
      <c r="N4" s="1022"/>
      <c r="O4" s="1022"/>
      <c r="P4" s="1022"/>
      <c r="Q4" s="1022"/>
      <c r="R4" s="1022"/>
      <c r="S4" s="1022"/>
      <c r="T4" s="1022"/>
    </row>
    <row r="5" spans="1:20" s="452" customFormat="1" ht="18" customHeight="1">
      <c r="A5" s="795"/>
      <c r="B5" s="880" t="s">
        <v>474</v>
      </c>
      <c r="C5" s="877"/>
      <c r="D5" s="877"/>
      <c r="E5" s="877"/>
      <c r="F5" s="857"/>
      <c r="G5" s="876" t="s">
        <v>456</v>
      </c>
      <c r="H5" s="877"/>
      <c r="I5" s="877"/>
      <c r="J5" s="877"/>
      <c r="K5" s="877"/>
      <c r="L5" s="877" t="s">
        <v>387</v>
      </c>
      <c r="M5" s="877"/>
      <c r="N5" s="877"/>
      <c r="O5" s="877"/>
      <c r="P5" s="877"/>
      <c r="Q5" s="877"/>
      <c r="R5" s="877"/>
      <c r="S5" s="877"/>
      <c r="T5" s="877"/>
    </row>
    <row r="6" spans="1:20" s="452" customFormat="1" ht="18" customHeight="1">
      <c r="A6" s="795"/>
      <c r="B6" s="872" t="s">
        <v>388</v>
      </c>
      <c r="C6" s="617"/>
      <c r="D6" s="617"/>
      <c r="E6" s="617"/>
      <c r="F6" s="856"/>
      <c r="G6" s="855"/>
      <c r="H6" s="617"/>
      <c r="I6" s="617"/>
      <c r="J6" s="617"/>
      <c r="K6" s="617"/>
      <c r="L6" s="617"/>
      <c r="M6" s="617"/>
      <c r="N6" s="617"/>
      <c r="O6" s="617"/>
      <c r="P6" s="617"/>
      <c r="Q6" s="617"/>
      <c r="R6" s="617"/>
      <c r="S6" s="617"/>
      <c r="T6" s="617"/>
    </row>
    <row r="7" spans="1:20" s="452" customFormat="1" ht="20.100000000000001" customHeight="1">
      <c r="A7" s="795"/>
      <c r="B7" s="723" t="s">
        <v>475</v>
      </c>
      <c r="C7" s="723" t="s">
        <v>476</v>
      </c>
      <c r="D7" s="723" t="s">
        <v>477</v>
      </c>
      <c r="E7" s="723" t="s">
        <v>478</v>
      </c>
      <c r="F7" s="723" t="s">
        <v>463</v>
      </c>
      <c r="G7" s="723" t="s">
        <v>475</v>
      </c>
      <c r="H7" s="739" t="s">
        <v>479</v>
      </c>
      <c r="I7" s="738"/>
      <c r="J7" s="725"/>
      <c r="K7" s="723" t="s">
        <v>480</v>
      </c>
      <c r="L7" s="725" t="s">
        <v>481</v>
      </c>
      <c r="M7" s="723"/>
      <c r="N7" s="723"/>
      <c r="O7" s="723"/>
      <c r="P7" s="723"/>
      <c r="Q7" s="723"/>
      <c r="R7" s="723"/>
      <c r="S7" s="723"/>
      <c r="T7" s="723"/>
    </row>
    <row r="8" spans="1:20" s="452" customFormat="1" ht="20.100000000000001" customHeight="1">
      <c r="A8" s="719" t="s">
        <v>389</v>
      </c>
      <c r="B8" s="756"/>
      <c r="C8" s="756"/>
      <c r="D8" s="756"/>
      <c r="E8" s="756"/>
      <c r="F8" s="756"/>
      <c r="G8" s="756"/>
      <c r="H8" s="736" t="s">
        <v>390</v>
      </c>
      <c r="I8" s="741"/>
      <c r="J8" s="742"/>
      <c r="K8" s="756"/>
      <c r="L8" s="731" t="s">
        <v>391</v>
      </c>
      <c r="M8" s="784"/>
      <c r="N8" s="756"/>
      <c r="O8" s="756"/>
      <c r="P8" s="756"/>
      <c r="Q8" s="756"/>
      <c r="R8" s="756"/>
      <c r="S8" s="756"/>
      <c r="T8" s="756"/>
    </row>
    <row r="9" spans="1:20" s="96" customFormat="1" ht="30" customHeight="1">
      <c r="A9" s="719"/>
      <c r="B9" s="760" t="s">
        <v>392</v>
      </c>
      <c r="C9" s="849" t="s">
        <v>393</v>
      </c>
      <c r="D9" s="849" t="s">
        <v>394</v>
      </c>
      <c r="E9" s="849" t="s">
        <v>395</v>
      </c>
      <c r="F9" s="849" t="s">
        <v>396</v>
      </c>
      <c r="G9" s="849" t="s">
        <v>392</v>
      </c>
      <c r="H9" s="453" t="s">
        <v>459</v>
      </c>
      <c r="I9" s="453" t="s">
        <v>482</v>
      </c>
      <c r="J9" s="453" t="s">
        <v>483</v>
      </c>
      <c r="K9" s="756" t="s">
        <v>397</v>
      </c>
      <c r="L9" s="458" t="s">
        <v>459</v>
      </c>
      <c r="M9" s="461" t="s">
        <v>484</v>
      </c>
      <c r="N9" s="453" t="s">
        <v>485</v>
      </c>
      <c r="O9" s="453" t="s">
        <v>486</v>
      </c>
      <c r="P9" s="453" t="s">
        <v>460</v>
      </c>
      <c r="Q9" s="453" t="s">
        <v>461</v>
      </c>
      <c r="R9" s="453" t="s">
        <v>462</v>
      </c>
      <c r="S9" s="453" t="s">
        <v>487</v>
      </c>
      <c r="T9" s="453" t="s">
        <v>463</v>
      </c>
    </row>
    <row r="10" spans="1:20" s="96" customFormat="1" ht="69.95" customHeight="1" thickBot="1">
      <c r="A10" s="726"/>
      <c r="B10" s="761"/>
      <c r="C10" s="1023"/>
      <c r="D10" s="1023"/>
      <c r="E10" s="1023"/>
      <c r="F10" s="1023"/>
      <c r="G10" s="1023"/>
      <c r="H10" s="483" t="s">
        <v>423</v>
      </c>
      <c r="I10" s="519" t="s">
        <v>398</v>
      </c>
      <c r="J10" s="519" t="s">
        <v>399</v>
      </c>
      <c r="K10" s="757"/>
      <c r="L10" s="483" t="s">
        <v>423</v>
      </c>
      <c r="M10" s="519" t="s">
        <v>400</v>
      </c>
      <c r="N10" s="519" t="s">
        <v>401</v>
      </c>
      <c r="O10" s="519" t="s">
        <v>402</v>
      </c>
      <c r="P10" s="462" t="s">
        <v>924</v>
      </c>
      <c r="Q10" s="462" t="s">
        <v>403</v>
      </c>
      <c r="R10" s="462" t="s">
        <v>404</v>
      </c>
      <c r="S10" s="462" t="s">
        <v>405</v>
      </c>
      <c r="T10" s="462" t="s">
        <v>396</v>
      </c>
    </row>
    <row r="11" spans="1:20" ht="50.85" customHeight="1">
      <c r="A11" s="118" t="s">
        <v>467</v>
      </c>
      <c r="B11" s="584">
        <f t="shared" ref="B11:B19" si="0">SUM(C11:F11)</f>
        <v>8088</v>
      </c>
      <c r="C11" s="569">
        <v>4619</v>
      </c>
      <c r="D11" s="569">
        <v>2126</v>
      </c>
      <c r="E11" s="569">
        <v>196</v>
      </c>
      <c r="F11" s="569">
        <v>1147</v>
      </c>
      <c r="G11" s="78">
        <f>SUM(H11,K11,L11,'11-22續'!B10)</f>
        <v>8088</v>
      </c>
      <c r="H11" s="78">
        <f t="shared" ref="H11:H16" si="1">SUM(I11,J11)</f>
        <v>3067</v>
      </c>
      <c r="I11" s="569">
        <v>2702</v>
      </c>
      <c r="J11" s="569">
        <v>365</v>
      </c>
      <c r="K11" s="569">
        <v>282</v>
      </c>
      <c r="L11" s="78">
        <f t="shared" ref="L11:L16" si="2">SUM(M11:T11)</f>
        <v>2958</v>
      </c>
      <c r="M11" s="569">
        <v>8</v>
      </c>
      <c r="N11" s="569">
        <v>3</v>
      </c>
      <c r="O11" s="569">
        <v>67</v>
      </c>
      <c r="P11" s="586">
        <v>3</v>
      </c>
      <c r="Q11" s="586">
        <v>3</v>
      </c>
      <c r="R11" s="586">
        <v>1</v>
      </c>
      <c r="S11" s="586">
        <v>5</v>
      </c>
      <c r="T11" s="586">
        <v>2868</v>
      </c>
    </row>
    <row r="12" spans="1:20" ht="50.85" customHeight="1">
      <c r="A12" s="118" t="s">
        <v>468</v>
      </c>
      <c r="B12" s="584">
        <f t="shared" si="0"/>
        <v>10096</v>
      </c>
      <c r="C12" s="569">
        <v>5738</v>
      </c>
      <c r="D12" s="569">
        <v>2803</v>
      </c>
      <c r="E12" s="569">
        <v>265</v>
      </c>
      <c r="F12" s="569">
        <v>1290</v>
      </c>
      <c r="G12" s="78">
        <f>SUM(H12,K12,L12,'11-22續'!B11)</f>
        <v>10096</v>
      </c>
      <c r="H12" s="78">
        <f t="shared" si="1"/>
        <v>3861</v>
      </c>
      <c r="I12" s="569">
        <v>3482</v>
      </c>
      <c r="J12" s="569">
        <v>379</v>
      </c>
      <c r="K12" s="569">
        <v>347</v>
      </c>
      <c r="L12" s="78">
        <f t="shared" si="2"/>
        <v>3476</v>
      </c>
      <c r="M12" s="569">
        <v>7</v>
      </c>
      <c r="N12" s="569">
        <v>2</v>
      </c>
      <c r="O12" s="569">
        <v>90</v>
      </c>
      <c r="P12" s="586">
        <v>4</v>
      </c>
      <c r="Q12" s="586">
        <v>5</v>
      </c>
      <c r="R12" s="586">
        <v>3</v>
      </c>
      <c r="S12" s="586">
        <v>6</v>
      </c>
      <c r="T12" s="586">
        <v>3359</v>
      </c>
    </row>
    <row r="13" spans="1:20" ht="50.85" customHeight="1">
      <c r="A13" s="118" t="s">
        <v>469</v>
      </c>
      <c r="B13" s="584">
        <f t="shared" si="0"/>
        <v>9706</v>
      </c>
      <c r="C13" s="569">
        <v>5325</v>
      </c>
      <c r="D13" s="569">
        <v>3017</v>
      </c>
      <c r="E13" s="569">
        <v>267</v>
      </c>
      <c r="F13" s="569">
        <v>1097</v>
      </c>
      <c r="G13" s="78">
        <f>SUM(H13,K13,L13,'11-22續'!B12)</f>
        <v>9706</v>
      </c>
      <c r="H13" s="78">
        <f t="shared" si="1"/>
        <v>3475</v>
      </c>
      <c r="I13" s="569">
        <v>3070</v>
      </c>
      <c r="J13" s="569">
        <v>405</v>
      </c>
      <c r="K13" s="569">
        <v>312</v>
      </c>
      <c r="L13" s="78">
        <f t="shared" si="2"/>
        <v>3968</v>
      </c>
      <c r="M13" s="569">
        <v>11</v>
      </c>
      <c r="N13" s="569">
        <v>2</v>
      </c>
      <c r="O13" s="569">
        <v>130</v>
      </c>
      <c r="P13" s="586">
        <v>4</v>
      </c>
      <c r="Q13" s="586">
        <v>7</v>
      </c>
      <c r="R13" s="586">
        <v>4</v>
      </c>
      <c r="S13" s="586">
        <v>6</v>
      </c>
      <c r="T13" s="586">
        <v>3804</v>
      </c>
    </row>
    <row r="14" spans="1:20" ht="50.85" customHeight="1">
      <c r="A14" s="118" t="s">
        <v>470</v>
      </c>
      <c r="B14" s="584">
        <f t="shared" si="0"/>
        <v>11111</v>
      </c>
      <c r="C14" s="569">
        <v>5332</v>
      </c>
      <c r="D14" s="569">
        <v>4106</v>
      </c>
      <c r="E14" s="569">
        <v>280</v>
      </c>
      <c r="F14" s="569">
        <v>1393</v>
      </c>
      <c r="G14" s="78">
        <f>SUM(H14,K14,L14,'11-22續'!B13)</f>
        <v>11111</v>
      </c>
      <c r="H14" s="78">
        <f t="shared" si="1"/>
        <v>3730</v>
      </c>
      <c r="I14" s="569">
        <v>3363</v>
      </c>
      <c r="J14" s="569">
        <v>367</v>
      </c>
      <c r="K14" s="569">
        <v>363</v>
      </c>
      <c r="L14" s="78">
        <f t="shared" si="2"/>
        <v>4618</v>
      </c>
      <c r="M14" s="569">
        <v>11</v>
      </c>
      <c r="N14" s="569">
        <v>13</v>
      </c>
      <c r="O14" s="569">
        <v>174</v>
      </c>
      <c r="P14" s="586">
        <v>4</v>
      </c>
      <c r="Q14" s="586">
        <v>16</v>
      </c>
      <c r="R14" s="586">
        <v>3</v>
      </c>
      <c r="S14" s="586">
        <v>9</v>
      </c>
      <c r="T14" s="586">
        <v>4388</v>
      </c>
    </row>
    <row r="15" spans="1:20" s="18" customFormat="1" ht="50.85" customHeight="1">
      <c r="A15" s="118" t="s">
        <v>471</v>
      </c>
      <c r="B15" s="584">
        <f t="shared" si="0"/>
        <v>12601</v>
      </c>
      <c r="C15" s="569">
        <v>5477</v>
      </c>
      <c r="D15" s="569">
        <v>4975</v>
      </c>
      <c r="E15" s="569">
        <v>289</v>
      </c>
      <c r="F15" s="569">
        <v>1860</v>
      </c>
      <c r="G15" s="78">
        <f>SUM(H15,K15,L15,'11-22續'!B14)</f>
        <v>12601</v>
      </c>
      <c r="H15" s="78">
        <f t="shared" si="1"/>
        <v>4064</v>
      </c>
      <c r="I15" s="569">
        <v>3595</v>
      </c>
      <c r="J15" s="569">
        <v>469</v>
      </c>
      <c r="K15" s="569">
        <v>410</v>
      </c>
      <c r="L15" s="78">
        <f t="shared" si="2"/>
        <v>5558</v>
      </c>
      <c r="M15" s="569">
        <v>22</v>
      </c>
      <c r="N15" s="569">
        <v>5</v>
      </c>
      <c r="O15" s="569">
        <v>220</v>
      </c>
      <c r="P15" s="569">
        <v>9</v>
      </c>
      <c r="Q15" s="569">
        <v>20</v>
      </c>
      <c r="R15" s="569">
        <v>8</v>
      </c>
      <c r="S15" s="569">
        <v>15</v>
      </c>
      <c r="T15" s="569">
        <v>5259</v>
      </c>
    </row>
    <row r="16" spans="1:20" s="19" customFormat="1" ht="50.85" customHeight="1">
      <c r="A16" s="118" t="s">
        <v>472</v>
      </c>
      <c r="B16" s="584">
        <f t="shared" si="0"/>
        <v>10183</v>
      </c>
      <c r="C16" s="78">
        <v>5596</v>
      </c>
      <c r="D16" s="78">
        <v>2289</v>
      </c>
      <c r="E16" s="78">
        <v>237</v>
      </c>
      <c r="F16" s="78">
        <v>2061</v>
      </c>
      <c r="G16" s="78">
        <f>SUM(H16,K16,L16,'11-22續'!B15)</f>
        <v>10183</v>
      </c>
      <c r="H16" s="78">
        <f t="shared" si="1"/>
        <v>3900</v>
      </c>
      <c r="I16" s="78">
        <v>3452</v>
      </c>
      <c r="J16" s="78">
        <v>448</v>
      </c>
      <c r="K16" s="78">
        <v>470</v>
      </c>
      <c r="L16" s="78">
        <f t="shared" si="2"/>
        <v>2797</v>
      </c>
      <c r="M16" s="78">
        <v>20</v>
      </c>
      <c r="N16" s="78">
        <v>9</v>
      </c>
      <c r="O16" s="78">
        <v>247</v>
      </c>
      <c r="P16" s="78">
        <v>3</v>
      </c>
      <c r="Q16" s="78">
        <v>6</v>
      </c>
      <c r="R16" s="78">
        <v>7</v>
      </c>
      <c r="S16" s="78">
        <v>9</v>
      </c>
      <c r="T16" s="78">
        <v>2496</v>
      </c>
    </row>
    <row r="17" spans="1:20" ht="50.85" customHeight="1">
      <c r="A17" s="118" t="s">
        <v>473</v>
      </c>
      <c r="B17" s="584">
        <f t="shared" si="0"/>
        <v>10614</v>
      </c>
      <c r="C17" s="569">
        <v>5695</v>
      </c>
      <c r="D17" s="569">
        <v>2466</v>
      </c>
      <c r="E17" s="569">
        <v>452</v>
      </c>
      <c r="F17" s="569">
        <v>2001</v>
      </c>
      <c r="G17" s="78">
        <f>SUM(H17,K17,L17,'11-22續'!B16)</f>
        <v>10614</v>
      </c>
      <c r="H17" s="78">
        <f>SUM(I17:J17)</f>
        <v>3828</v>
      </c>
      <c r="I17" s="569">
        <v>3389</v>
      </c>
      <c r="J17" s="569">
        <v>439</v>
      </c>
      <c r="K17" s="569">
        <v>522</v>
      </c>
      <c r="L17" s="78">
        <v>3176</v>
      </c>
      <c r="M17" s="569">
        <v>28</v>
      </c>
      <c r="N17" s="569">
        <v>6</v>
      </c>
      <c r="O17" s="569">
        <v>340</v>
      </c>
      <c r="P17" s="569">
        <v>6</v>
      </c>
      <c r="Q17" s="569">
        <v>18</v>
      </c>
      <c r="R17" s="569">
        <v>16</v>
      </c>
      <c r="S17" s="569">
        <v>5</v>
      </c>
      <c r="T17" s="569">
        <v>2757</v>
      </c>
    </row>
    <row r="18" spans="1:20" ht="50.85" customHeight="1">
      <c r="A18" s="118" t="s">
        <v>749</v>
      </c>
      <c r="B18" s="584">
        <f t="shared" si="0"/>
        <v>10437</v>
      </c>
      <c r="C18" s="569">
        <v>5939</v>
      </c>
      <c r="D18" s="569">
        <v>1875</v>
      </c>
      <c r="E18" s="569">
        <v>508</v>
      </c>
      <c r="F18" s="569">
        <v>2115</v>
      </c>
      <c r="G18" s="78">
        <f>SUM(H18,K18,L18,'11-22續'!B17)</f>
        <v>10437</v>
      </c>
      <c r="H18" s="78">
        <f>SUM(I18:J18)</f>
        <v>3899</v>
      </c>
      <c r="I18" s="569">
        <v>3459</v>
      </c>
      <c r="J18" s="569">
        <v>440</v>
      </c>
      <c r="K18" s="569">
        <v>557</v>
      </c>
      <c r="L18" s="78">
        <f>SUM(M18:T18)</f>
        <v>2592</v>
      </c>
      <c r="M18" s="569">
        <v>16</v>
      </c>
      <c r="N18" s="569">
        <v>11</v>
      </c>
      <c r="O18" s="569">
        <v>370</v>
      </c>
      <c r="P18" s="569">
        <v>8</v>
      </c>
      <c r="Q18" s="569">
        <v>7</v>
      </c>
      <c r="R18" s="569">
        <v>9</v>
      </c>
      <c r="S18" s="569">
        <v>9</v>
      </c>
      <c r="T18" s="569">
        <v>2162</v>
      </c>
    </row>
    <row r="19" spans="1:20" ht="50.85" customHeight="1">
      <c r="A19" s="27" t="s">
        <v>1045</v>
      </c>
      <c r="B19" s="584">
        <f t="shared" si="0"/>
        <v>10332</v>
      </c>
      <c r="C19" s="569">
        <v>6003</v>
      </c>
      <c r="D19" s="569">
        <v>1587</v>
      </c>
      <c r="E19" s="569">
        <v>518</v>
      </c>
      <c r="F19" s="569">
        <v>2224</v>
      </c>
      <c r="G19" s="78">
        <f>SUM(H19,K19,L19,'11-22續'!B18)</f>
        <v>10332</v>
      </c>
      <c r="H19" s="78">
        <f t="shared" ref="H19:H20" si="3">SUM(I19:J19)</f>
        <v>3993</v>
      </c>
      <c r="I19" s="569">
        <v>3570</v>
      </c>
      <c r="J19" s="569">
        <v>423</v>
      </c>
      <c r="K19" s="569">
        <v>539</v>
      </c>
      <c r="L19" s="78">
        <f>SUM(M19:T19)</f>
        <v>2269</v>
      </c>
      <c r="M19" s="569">
        <v>12</v>
      </c>
      <c r="N19" s="569">
        <v>7</v>
      </c>
      <c r="O19" s="569">
        <v>447</v>
      </c>
      <c r="P19" s="569">
        <v>13</v>
      </c>
      <c r="Q19" s="569">
        <v>16</v>
      </c>
      <c r="R19" s="569">
        <v>6</v>
      </c>
      <c r="S19" s="569">
        <v>5</v>
      </c>
      <c r="T19" s="569">
        <v>1763</v>
      </c>
    </row>
    <row r="20" spans="1:20" ht="50.85" customHeight="1" thickBot="1">
      <c r="A20" s="30" t="s">
        <v>1242</v>
      </c>
      <c r="B20" s="339">
        <f t="shared" ref="B20" si="4">SUM(C20:F20)</f>
        <v>10832</v>
      </c>
      <c r="C20" s="341">
        <v>6196</v>
      </c>
      <c r="D20" s="341">
        <v>1617</v>
      </c>
      <c r="E20" s="341">
        <v>561</v>
      </c>
      <c r="F20" s="341">
        <v>2458</v>
      </c>
      <c r="G20" s="341">
        <f>SUM(H20,K20,L20,'11-22續'!B19)</f>
        <v>10832</v>
      </c>
      <c r="H20" s="341">
        <f t="shared" si="3"/>
        <v>4065</v>
      </c>
      <c r="I20" s="341">
        <v>3633</v>
      </c>
      <c r="J20" s="341">
        <v>432</v>
      </c>
      <c r="K20" s="341">
        <v>502</v>
      </c>
      <c r="L20" s="341">
        <f>SUM(M20:T20)</f>
        <v>2328</v>
      </c>
      <c r="M20" s="341">
        <v>12</v>
      </c>
      <c r="N20" s="341">
        <v>23</v>
      </c>
      <c r="O20" s="341">
        <v>448</v>
      </c>
      <c r="P20" s="341">
        <v>14</v>
      </c>
      <c r="Q20" s="341">
        <v>16</v>
      </c>
      <c r="R20" s="341">
        <v>4</v>
      </c>
      <c r="S20" s="341">
        <v>6</v>
      </c>
      <c r="T20" s="341">
        <v>1805</v>
      </c>
    </row>
    <row r="21" spans="1:20" s="452" customFormat="1" ht="15" customHeight="1">
      <c r="A21" s="97" t="s">
        <v>937</v>
      </c>
      <c r="B21" s="475"/>
      <c r="C21" s="475"/>
      <c r="D21" s="475"/>
      <c r="E21" s="475"/>
      <c r="F21" s="475"/>
      <c r="G21" s="475"/>
      <c r="I21" s="475"/>
      <c r="J21" s="475"/>
      <c r="L21" s="99" t="s">
        <v>406</v>
      </c>
      <c r="O21" s="475"/>
      <c r="P21" s="475"/>
      <c r="Q21" s="475"/>
      <c r="R21" s="475"/>
      <c r="S21" s="475"/>
      <c r="T21" s="475"/>
    </row>
    <row r="22" spans="1:20" s="452" customFormat="1" ht="15" customHeight="1"/>
    <row r="23" spans="1:20" s="452" customFormat="1">
      <c r="A23" s="98"/>
    </row>
    <row r="24" spans="1:20" s="452" customFormat="1">
      <c r="A24" s="98"/>
    </row>
    <row r="25" spans="1:20" s="452" customFormat="1"/>
    <row r="26" spans="1:20" s="452" customFormat="1"/>
  </sheetData>
  <mergeCells count="28">
    <mergeCell ref="G9:G10"/>
    <mergeCell ref="K9:K10"/>
    <mergeCell ref="K7:K8"/>
    <mergeCell ref="L7:T7"/>
    <mergeCell ref="A8:A10"/>
    <mergeCell ref="H8:J8"/>
    <mergeCell ref="L8:T8"/>
    <mergeCell ref="B9:B10"/>
    <mergeCell ref="C9:C10"/>
    <mergeCell ref="D9:D10"/>
    <mergeCell ref="E9:E10"/>
    <mergeCell ref="F9:F10"/>
    <mergeCell ref="C7:C8"/>
    <mergeCell ref="D7:D8"/>
    <mergeCell ref="E7:E8"/>
    <mergeCell ref="F7:F8"/>
    <mergeCell ref="L2:T2"/>
    <mergeCell ref="A4:A7"/>
    <mergeCell ref="B4:K4"/>
    <mergeCell ref="L4:T4"/>
    <mergeCell ref="B5:F5"/>
    <mergeCell ref="G5:K6"/>
    <mergeCell ref="L5:T6"/>
    <mergeCell ref="B6:F6"/>
    <mergeCell ref="B7:B8"/>
    <mergeCell ref="G7:G8"/>
    <mergeCell ref="H7:J7"/>
    <mergeCell ref="A2:K2"/>
  </mergeCells>
  <phoneticPr fontId="6" type="noConversion"/>
  <printOptions horizontalCentered="1"/>
  <pageMargins left="0.6692913385826772" right="0.6692913385826772" top="0.6692913385826772" bottom="0.6692913385826772" header="0.27559055118110237" footer="0.27559055118110237"/>
  <pageSetup paperSize="9" firstPageNumber="352" orientation="portrait" useFirstPageNumber="1" r:id="rId1"/>
  <headerFooter alignWithMargins="0"/>
  <legacy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工作表35"/>
  <dimension ref="A1:W23"/>
  <sheetViews>
    <sheetView showGridLines="0" view="pageBreakPreview" zoomScale="90" zoomScaleNormal="100" zoomScaleSheetLayoutView="90" workbookViewId="0">
      <pane xSplit="1" ySplit="9" topLeftCell="B16" activePane="bottomRight" state="frozen"/>
      <selection activeCell="U14" sqref="U14"/>
      <selection pane="topRight" activeCell="U14" sqref="U14"/>
      <selection pane="bottomLeft" activeCell="U14" sqref="U14"/>
      <selection pane="bottomRight" activeCell="B10" sqref="B10:N19"/>
    </sheetView>
  </sheetViews>
  <sheetFormatPr defaultRowHeight="12.75"/>
  <cols>
    <col min="1" max="1" width="10.625" style="452" customWidth="1"/>
    <col min="2" max="6" width="15.375" style="8" customWidth="1"/>
    <col min="7" max="7" width="15.625" style="8" customWidth="1"/>
    <col min="8" max="13" width="10.125" style="8" customWidth="1"/>
    <col min="14" max="14" width="9.875" style="8" customWidth="1"/>
    <col min="15" max="23" width="9" style="8" hidden="1" customWidth="1"/>
    <col min="24" max="16384" width="9" style="8"/>
  </cols>
  <sheetData>
    <row r="1" spans="1:14" s="452" customFormat="1" ht="18" customHeight="1">
      <c r="A1" s="90" t="s">
        <v>934</v>
      </c>
      <c r="N1" s="459" t="s">
        <v>230</v>
      </c>
    </row>
    <row r="2" spans="1:14" s="452" customFormat="1" ht="24.95" customHeight="1">
      <c r="A2" s="716" t="s">
        <v>1116</v>
      </c>
      <c r="B2" s="716"/>
      <c r="C2" s="716"/>
      <c r="D2" s="716"/>
      <c r="E2" s="716"/>
      <c r="F2" s="716"/>
      <c r="G2" s="716" t="s">
        <v>407</v>
      </c>
      <c r="H2" s="716"/>
      <c r="I2" s="716"/>
      <c r="J2" s="716"/>
      <c r="K2" s="716"/>
      <c r="L2" s="716"/>
      <c r="M2" s="716"/>
      <c r="N2" s="716"/>
    </row>
    <row r="3" spans="1:14" s="452" customFormat="1" ht="15" customHeight="1" thickBot="1">
      <c r="F3" s="459" t="s">
        <v>935</v>
      </c>
      <c r="G3" s="459"/>
      <c r="N3" s="459" t="s">
        <v>408</v>
      </c>
    </row>
    <row r="4" spans="1:14" s="452" customFormat="1" ht="21.95" customHeight="1">
      <c r="A4" s="808" t="s">
        <v>453</v>
      </c>
      <c r="B4" s="1024" t="s">
        <v>454</v>
      </c>
      <c r="C4" s="800"/>
      <c r="D4" s="800"/>
      <c r="E4" s="800"/>
      <c r="F4" s="800"/>
      <c r="G4" s="800" t="s">
        <v>409</v>
      </c>
      <c r="H4" s="800"/>
      <c r="I4" s="800"/>
      <c r="J4" s="801"/>
      <c r="K4" s="721" t="s">
        <v>455</v>
      </c>
      <c r="L4" s="721"/>
      <c r="M4" s="721"/>
      <c r="N4" s="721"/>
    </row>
    <row r="5" spans="1:14" s="452" customFormat="1" ht="21.95" customHeight="1">
      <c r="A5" s="795"/>
      <c r="B5" s="1025" t="s">
        <v>456</v>
      </c>
      <c r="C5" s="1026"/>
      <c r="D5" s="1026"/>
      <c r="E5" s="1026"/>
      <c r="F5" s="1026"/>
      <c r="G5" s="1026" t="s">
        <v>410</v>
      </c>
      <c r="H5" s="1026"/>
      <c r="I5" s="1026"/>
      <c r="J5" s="1027"/>
      <c r="K5" s="741" t="s">
        <v>367</v>
      </c>
      <c r="L5" s="773"/>
      <c r="M5" s="773"/>
      <c r="N5" s="773"/>
    </row>
    <row r="6" spans="1:14" s="452" customFormat="1" ht="18" customHeight="1">
      <c r="A6" s="795"/>
      <c r="B6" s="791" t="s">
        <v>457</v>
      </c>
      <c r="C6" s="792"/>
      <c r="D6" s="792"/>
      <c r="E6" s="792"/>
      <c r="F6" s="792"/>
      <c r="G6" s="792" t="s">
        <v>411</v>
      </c>
      <c r="H6" s="792"/>
      <c r="I6" s="792"/>
      <c r="J6" s="779"/>
      <c r="K6" s="792" t="s">
        <v>458</v>
      </c>
      <c r="L6" s="792"/>
      <c r="M6" s="792"/>
      <c r="N6" s="792"/>
    </row>
    <row r="7" spans="1:14" s="452" customFormat="1" ht="18" customHeight="1">
      <c r="A7" s="719" t="s">
        <v>201</v>
      </c>
      <c r="B7" s="1028"/>
      <c r="C7" s="780"/>
      <c r="D7" s="780"/>
      <c r="E7" s="780"/>
      <c r="F7" s="780"/>
      <c r="G7" s="780"/>
      <c r="H7" s="780"/>
      <c r="I7" s="780"/>
      <c r="J7" s="728"/>
      <c r="K7" s="780" t="s">
        <v>370</v>
      </c>
      <c r="L7" s="780"/>
      <c r="M7" s="780"/>
      <c r="N7" s="780"/>
    </row>
    <row r="8" spans="1:14" s="96" customFormat="1" ht="27.95" customHeight="1">
      <c r="A8" s="719"/>
      <c r="B8" s="453" t="s">
        <v>459</v>
      </c>
      <c r="C8" s="453" t="s">
        <v>1117</v>
      </c>
      <c r="D8" s="453" t="s">
        <v>1118</v>
      </c>
      <c r="E8" s="453" t="s">
        <v>1119</v>
      </c>
      <c r="F8" s="453" t="s">
        <v>460</v>
      </c>
      <c r="G8" s="455" t="s">
        <v>461</v>
      </c>
      <c r="H8" s="455" t="s">
        <v>462</v>
      </c>
      <c r="I8" s="453" t="s">
        <v>1120</v>
      </c>
      <c r="J8" s="453" t="s">
        <v>463</v>
      </c>
      <c r="K8" s="453" t="s">
        <v>440</v>
      </c>
      <c r="L8" s="453" t="s">
        <v>464</v>
      </c>
      <c r="M8" s="453" t="s">
        <v>465</v>
      </c>
      <c r="N8" s="456" t="s">
        <v>466</v>
      </c>
    </row>
    <row r="9" spans="1:14" s="96" customFormat="1" ht="51.95" customHeight="1" thickBot="1">
      <c r="A9" s="726"/>
      <c r="B9" s="519" t="s">
        <v>423</v>
      </c>
      <c r="C9" s="519" t="s">
        <v>412</v>
      </c>
      <c r="D9" s="519" t="s">
        <v>413</v>
      </c>
      <c r="E9" s="519" t="s">
        <v>414</v>
      </c>
      <c r="F9" s="462" t="s">
        <v>424</v>
      </c>
      <c r="G9" s="464" t="s">
        <v>415</v>
      </c>
      <c r="H9" s="464" t="s">
        <v>416</v>
      </c>
      <c r="I9" s="462" t="s">
        <v>417</v>
      </c>
      <c r="J9" s="462" t="s">
        <v>418</v>
      </c>
      <c r="K9" s="462" t="s">
        <v>371</v>
      </c>
      <c r="L9" s="462" t="s">
        <v>372</v>
      </c>
      <c r="M9" s="462" t="s">
        <v>373</v>
      </c>
      <c r="N9" s="465" t="s">
        <v>374</v>
      </c>
    </row>
    <row r="10" spans="1:14" ht="55.7" customHeight="1">
      <c r="A10" s="118" t="s">
        <v>467</v>
      </c>
      <c r="B10" s="584">
        <f t="shared" ref="B10:B14" si="0">SUM(C10:J10)</f>
        <v>1781</v>
      </c>
      <c r="C10" s="586">
        <v>931</v>
      </c>
      <c r="D10" s="586">
        <v>55</v>
      </c>
      <c r="E10" s="586">
        <v>331</v>
      </c>
      <c r="F10" s="586">
        <v>177</v>
      </c>
      <c r="G10" s="586">
        <v>43</v>
      </c>
      <c r="H10" s="586">
        <v>79</v>
      </c>
      <c r="I10" s="586">
        <v>118</v>
      </c>
      <c r="J10" s="586">
        <v>47</v>
      </c>
      <c r="K10" s="78">
        <f t="shared" ref="K10:K14" si="1">SUM(L10:N10)</f>
        <v>7746</v>
      </c>
      <c r="L10" s="586">
        <v>1817</v>
      </c>
      <c r="M10" s="586">
        <v>5867</v>
      </c>
      <c r="N10" s="586">
        <v>62</v>
      </c>
    </row>
    <row r="11" spans="1:14" ht="55.7" customHeight="1">
      <c r="A11" s="118" t="s">
        <v>468</v>
      </c>
      <c r="B11" s="584">
        <f t="shared" si="0"/>
        <v>2412</v>
      </c>
      <c r="C11" s="586">
        <v>1134</v>
      </c>
      <c r="D11" s="586">
        <v>55</v>
      </c>
      <c r="E11" s="586">
        <v>485</v>
      </c>
      <c r="F11" s="586">
        <v>203</v>
      </c>
      <c r="G11" s="586">
        <v>72</v>
      </c>
      <c r="H11" s="586">
        <v>145</v>
      </c>
      <c r="I11" s="586">
        <v>238</v>
      </c>
      <c r="J11" s="586">
        <v>80</v>
      </c>
      <c r="K11" s="78">
        <f t="shared" si="1"/>
        <v>9392</v>
      </c>
      <c r="L11" s="586">
        <v>2296</v>
      </c>
      <c r="M11" s="586">
        <v>7017</v>
      </c>
      <c r="N11" s="586">
        <v>79</v>
      </c>
    </row>
    <row r="12" spans="1:14" ht="55.7" customHeight="1">
      <c r="A12" s="118" t="s">
        <v>469</v>
      </c>
      <c r="B12" s="584">
        <f t="shared" si="0"/>
        <v>1951</v>
      </c>
      <c r="C12" s="586">
        <v>735</v>
      </c>
      <c r="D12" s="586">
        <v>55</v>
      </c>
      <c r="E12" s="586">
        <v>542</v>
      </c>
      <c r="F12" s="586">
        <v>164</v>
      </c>
      <c r="G12" s="586">
        <v>45</v>
      </c>
      <c r="H12" s="586">
        <v>158</v>
      </c>
      <c r="I12" s="586">
        <v>211</v>
      </c>
      <c r="J12" s="586">
        <v>41</v>
      </c>
      <c r="K12" s="78">
        <f t="shared" si="1"/>
        <v>8489</v>
      </c>
      <c r="L12" s="586">
        <v>2203</v>
      </c>
      <c r="M12" s="586">
        <v>6196</v>
      </c>
      <c r="N12" s="586">
        <v>90</v>
      </c>
    </row>
    <row r="13" spans="1:14" ht="55.7" customHeight="1">
      <c r="A13" s="118" t="s">
        <v>470</v>
      </c>
      <c r="B13" s="584">
        <f t="shared" si="0"/>
        <v>2400</v>
      </c>
      <c r="C13" s="586">
        <v>928</v>
      </c>
      <c r="D13" s="586">
        <v>65</v>
      </c>
      <c r="E13" s="586">
        <v>675</v>
      </c>
      <c r="F13" s="586">
        <v>212</v>
      </c>
      <c r="G13" s="586">
        <v>69</v>
      </c>
      <c r="H13" s="586">
        <v>151</v>
      </c>
      <c r="I13" s="586">
        <v>242</v>
      </c>
      <c r="J13" s="586">
        <v>58</v>
      </c>
      <c r="K13" s="78">
        <f t="shared" si="1"/>
        <v>9608</v>
      </c>
      <c r="L13" s="586">
        <v>2749</v>
      </c>
      <c r="M13" s="586">
        <v>6682</v>
      </c>
      <c r="N13" s="586">
        <v>177</v>
      </c>
    </row>
    <row r="14" spans="1:14" s="18" customFormat="1" ht="55.7" customHeight="1">
      <c r="A14" s="118" t="s">
        <v>471</v>
      </c>
      <c r="B14" s="584">
        <f t="shared" si="0"/>
        <v>2569</v>
      </c>
      <c r="C14" s="569">
        <v>996</v>
      </c>
      <c r="D14" s="569">
        <v>89</v>
      </c>
      <c r="E14" s="569">
        <v>655</v>
      </c>
      <c r="F14" s="569">
        <v>243</v>
      </c>
      <c r="G14" s="569">
        <v>71</v>
      </c>
      <c r="H14" s="569">
        <v>211</v>
      </c>
      <c r="I14" s="569">
        <v>264</v>
      </c>
      <c r="J14" s="569">
        <v>40</v>
      </c>
      <c r="K14" s="78">
        <f t="shared" si="1"/>
        <v>10812</v>
      </c>
      <c r="L14" s="569">
        <v>3253</v>
      </c>
      <c r="M14" s="569">
        <v>7345</v>
      </c>
      <c r="N14" s="569">
        <v>214</v>
      </c>
    </row>
    <row r="15" spans="1:14" s="19" customFormat="1" ht="55.7" customHeight="1">
      <c r="A15" s="118" t="s">
        <v>472</v>
      </c>
      <c r="B15" s="584">
        <f>SUM(C15:J15)</f>
        <v>3016</v>
      </c>
      <c r="C15" s="78">
        <v>1270</v>
      </c>
      <c r="D15" s="78">
        <v>88</v>
      </c>
      <c r="E15" s="78">
        <v>693</v>
      </c>
      <c r="F15" s="78">
        <v>250</v>
      </c>
      <c r="G15" s="78">
        <v>67</v>
      </c>
      <c r="H15" s="78">
        <v>304</v>
      </c>
      <c r="I15" s="78">
        <v>275</v>
      </c>
      <c r="J15" s="78">
        <v>69</v>
      </c>
      <c r="K15" s="78">
        <f>SUM(L15:N15)</f>
        <v>8595</v>
      </c>
      <c r="L15" s="78">
        <v>2286</v>
      </c>
      <c r="M15" s="78">
        <v>6167</v>
      </c>
      <c r="N15" s="78">
        <v>142</v>
      </c>
    </row>
    <row r="16" spans="1:14" ht="55.7" customHeight="1">
      <c r="A16" s="118" t="s">
        <v>473</v>
      </c>
      <c r="B16" s="584">
        <f>SUM(C16:J16)</f>
        <v>3088</v>
      </c>
      <c r="C16" s="569">
        <v>1335</v>
      </c>
      <c r="D16" s="569">
        <v>98</v>
      </c>
      <c r="E16" s="569">
        <v>770</v>
      </c>
      <c r="F16" s="569">
        <v>278</v>
      </c>
      <c r="G16" s="569">
        <v>72</v>
      </c>
      <c r="H16" s="569">
        <v>254</v>
      </c>
      <c r="I16" s="569">
        <v>213</v>
      </c>
      <c r="J16" s="569">
        <v>68</v>
      </c>
      <c r="K16" s="78">
        <f>SUM(L16:N16)</f>
        <v>8834</v>
      </c>
      <c r="L16" s="569">
        <v>2462</v>
      </c>
      <c r="M16" s="569">
        <v>6240</v>
      </c>
      <c r="N16" s="569">
        <v>132</v>
      </c>
    </row>
    <row r="17" spans="1:23" ht="55.7" customHeight="1">
      <c r="A17" s="118" t="s">
        <v>749</v>
      </c>
      <c r="B17" s="584">
        <f>SUM(C17:J17)</f>
        <v>3389</v>
      </c>
      <c r="C17" s="569">
        <v>1369</v>
      </c>
      <c r="D17" s="569">
        <v>126</v>
      </c>
      <c r="E17" s="569">
        <v>832</v>
      </c>
      <c r="F17" s="569">
        <v>437</v>
      </c>
      <c r="G17" s="569">
        <v>114</v>
      </c>
      <c r="H17" s="569">
        <v>216</v>
      </c>
      <c r="I17" s="569">
        <v>192</v>
      </c>
      <c r="J17" s="569">
        <v>103</v>
      </c>
      <c r="K17" s="78">
        <f>SUM(L17:N17)</f>
        <v>8553</v>
      </c>
      <c r="L17" s="569">
        <v>2323</v>
      </c>
      <c r="M17" s="569">
        <v>6127</v>
      </c>
      <c r="N17" s="569">
        <v>103</v>
      </c>
    </row>
    <row r="18" spans="1:23" ht="55.7" customHeight="1">
      <c r="A18" s="27" t="s">
        <v>1045</v>
      </c>
      <c r="B18" s="585">
        <f>SUM(C18:J18)</f>
        <v>3531</v>
      </c>
      <c r="C18" s="569">
        <v>1435</v>
      </c>
      <c r="D18" s="569">
        <v>153</v>
      </c>
      <c r="E18" s="569">
        <v>834</v>
      </c>
      <c r="F18" s="569">
        <v>572</v>
      </c>
      <c r="G18" s="569">
        <v>104</v>
      </c>
      <c r="H18" s="569">
        <v>199</v>
      </c>
      <c r="I18" s="569">
        <v>150</v>
      </c>
      <c r="J18" s="569">
        <v>84</v>
      </c>
      <c r="K18" s="569">
        <f>SUM(L18:N18)</f>
        <v>8348</v>
      </c>
      <c r="L18" s="569">
        <v>2261</v>
      </c>
      <c r="M18" s="569">
        <v>6001</v>
      </c>
      <c r="N18" s="569">
        <v>86</v>
      </c>
    </row>
    <row r="19" spans="1:23" s="336" customFormat="1" ht="55.7" customHeight="1" thickBot="1">
      <c r="A19" s="375" t="s">
        <v>1242</v>
      </c>
      <c r="B19" s="341">
        <f>SUM(C19:J19)</f>
        <v>3937</v>
      </c>
      <c r="C19" s="341">
        <v>1647</v>
      </c>
      <c r="D19" s="341">
        <v>137</v>
      </c>
      <c r="E19" s="341">
        <v>983</v>
      </c>
      <c r="F19" s="341">
        <v>718</v>
      </c>
      <c r="G19" s="341">
        <v>125</v>
      </c>
      <c r="H19" s="341">
        <v>146</v>
      </c>
      <c r="I19" s="341">
        <v>110</v>
      </c>
      <c r="J19" s="341">
        <v>71</v>
      </c>
      <c r="K19" s="341">
        <f>SUM(L19:N19)</f>
        <v>8727</v>
      </c>
      <c r="L19" s="341">
        <v>2529</v>
      </c>
      <c r="M19" s="341">
        <v>6117</v>
      </c>
      <c r="N19" s="341">
        <v>81</v>
      </c>
      <c r="O19" s="31"/>
      <c r="P19" s="31"/>
      <c r="Q19" s="31"/>
      <c r="R19" s="31"/>
      <c r="S19" s="31"/>
      <c r="T19" s="31"/>
      <c r="U19" s="31"/>
      <c r="V19" s="31"/>
      <c r="W19" s="31"/>
    </row>
    <row r="20" spans="1:23">
      <c r="A20" s="244"/>
    </row>
    <row r="21" spans="1:23" ht="15" customHeight="1"/>
    <row r="22" spans="1:23">
      <c r="A22" s="98"/>
    </row>
    <row r="23" spans="1:23">
      <c r="A23" s="98"/>
    </row>
  </sheetData>
  <mergeCells count="14">
    <mergeCell ref="A7:A9"/>
    <mergeCell ref="K7:N7"/>
    <mergeCell ref="A2:F2"/>
    <mergeCell ref="A4:A6"/>
    <mergeCell ref="B4:F4"/>
    <mergeCell ref="G4:J4"/>
    <mergeCell ref="K4:N4"/>
    <mergeCell ref="B5:F5"/>
    <mergeCell ref="G5:J5"/>
    <mergeCell ref="K5:N5"/>
    <mergeCell ref="B6:F7"/>
    <mergeCell ref="G6:J7"/>
    <mergeCell ref="G2:N2"/>
    <mergeCell ref="K6:N6"/>
  </mergeCells>
  <phoneticPr fontId="6" type="noConversion"/>
  <printOptions horizontalCentered="1"/>
  <pageMargins left="0.6692913385826772" right="0.6692913385826772" top="0.6692913385826772" bottom="0.6692913385826772" header="0.27559055118110237" footer="0.27559055118110237"/>
  <pageSetup paperSize="9" firstPageNumber="352" orientation="portrait" useFirstPageNumber="1"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工作表5"/>
  <dimension ref="A1:Z18"/>
  <sheetViews>
    <sheetView showGridLines="0" view="pageBreakPreview" zoomScale="60" zoomScaleNormal="120" workbookViewId="0">
      <pane xSplit="2" ySplit="7" topLeftCell="C14" activePane="bottomRight" state="frozen"/>
      <selection pane="topRight"/>
      <selection pane="bottomLeft"/>
      <selection pane="bottomRight" sqref="A1:XFD1048576"/>
    </sheetView>
  </sheetViews>
  <sheetFormatPr defaultRowHeight="12.75"/>
  <cols>
    <col min="1" max="1" width="10.625" style="182" customWidth="1"/>
    <col min="2" max="2" width="8.875" style="182" customWidth="1"/>
    <col min="3" max="9" width="9.625" style="68" customWidth="1"/>
    <col min="10" max="15" width="14.625" style="68" customWidth="1"/>
    <col min="16" max="27" width="0" style="68" hidden="1" customWidth="1"/>
    <col min="28" max="16384" width="9" style="68"/>
  </cols>
  <sheetData>
    <row r="1" spans="1:26" s="182" customFormat="1" ht="18" customHeight="1">
      <c r="A1" s="121" t="s">
        <v>934</v>
      </c>
      <c r="C1" s="527"/>
      <c r="D1" s="527"/>
      <c r="E1" s="527"/>
      <c r="F1" s="527"/>
      <c r="G1" s="527"/>
      <c r="H1" s="527"/>
      <c r="I1" s="191"/>
      <c r="J1" s="192"/>
      <c r="K1" s="192"/>
      <c r="L1" s="525"/>
      <c r="M1" s="525"/>
      <c r="N1" s="525"/>
      <c r="O1" s="205" t="s">
        <v>62</v>
      </c>
    </row>
    <row r="2" spans="1:26" s="182" customFormat="1" ht="24.95" customHeight="1">
      <c r="A2" s="628" t="s">
        <v>1024</v>
      </c>
      <c r="B2" s="628"/>
      <c r="C2" s="628"/>
      <c r="D2" s="628"/>
      <c r="E2" s="628"/>
      <c r="F2" s="628"/>
      <c r="G2" s="628"/>
      <c r="H2" s="628"/>
      <c r="I2" s="637"/>
      <c r="J2" s="628" t="s">
        <v>63</v>
      </c>
      <c r="K2" s="628"/>
      <c r="L2" s="628"/>
      <c r="M2" s="628"/>
      <c r="N2" s="628"/>
      <c r="O2" s="628"/>
      <c r="P2" s="191"/>
      <c r="Q2" s="191"/>
    </row>
    <row r="3" spans="1:26" s="182" customFormat="1" ht="15" customHeight="1" thickBot="1">
      <c r="B3" s="183"/>
      <c r="C3" s="183"/>
      <c r="D3" s="183"/>
      <c r="E3" s="183"/>
      <c r="H3" s="638" t="s">
        <v>1025</v>
      </c>
      <c r="I3" s="638"/>
      <c r="J3" s="193"/>
      <c r="K3" s="193"/>
      <c r="L3" s="183"/>
      <c r="M3" s="183"/>
      <c r="N3" s="183"/>
      <c r="O3" s="528" t="s">
        <v>64</v>
      </c>
    </row>
    <row r="4" spans="1:26" s="182" customFormat="1" ht="20.100000000000001" customHeight="1">
      <c r="A4" s="629" t="s">
        <v>433</v>
      </c>
      <c r="B4" s="630"/>
      <c r="C4" s="633" t="s">
        <v>701</v>
      </c>
      <c r="D4" s="629"/>
      <c r="E4" s="629"/>
      <c r="F4" s="629"/>
      <c r="G4" s="629"/>
      <c r="H4" s="629"/>
      <c r="I4" s="634"/>
      <c r="J4" s="639" t="s">
        <v>702</v>
      </c>
      <c r="K4" s="639"/>
      <c r="L4" s="639"/>
      <c r="M4" s="639"/>
      <c r="N4" s="639"/>
      <c r="O4" s="639"/>
    </row>
    <row r="5" spans="1:26" s="182" customFormat="1" ht="20.100000000000001" customHeight="1">
      <c r="A5" s="631"/>
      <c r="B5" s="632"/>
      <c r="C5" s="640" t="s">
        <v>65</v>
      </c>
      <c r="D5" s="641"/>
      <c r="E5" s="641"/>
      <c r="F5" s="641"/>
      <c r="G5" s="641"/>
      <c r="H5" s="641"/>
      <c r="I5" s="642"/>
      <c r="J5" s="641" t="s">
        <v>66</v>
      </c>
      <c r="K5" s="641"/>
      <c r="L5" s="641"/>
      <c r="M5" s="641"/>
      <c r="N5" s="641"/>
      <c r="O5" s="641"/>
    </row>
    <row r="6" spans="1:26" s="182" customFormat="1" ht="24.95" customHeight="1">
      <c r="A6" s="624" t="s">
        <v>67</v>
      </c>
      <c r="B6" s="625"/>
      <c r="C6" s="194" t="s">
        <v>703</v>
      </c>
      <c r="D6" s="195" t="s">
        <v>704</v>
      </c>
      <c r="E6" s="194" t="s">
        <v>705</v>
      </c>
      <c r="F6" s="194" t="s">
        <v>706</v>
      </c>
      <c r="G6" s="196" t="s">
        <v>707</v>
      </c>
      <c r="H6" s="197" t="s">
        <v>708</v>
      </c>
      <c r="I6" s="194" t="s">
        <v>463</v>
      </c>
      <c r="J6" s="196" t="s">
        <v>709</v>
      </c>
      <c r="K6" s="195" t="s">
        <v>1318</v>
      </c>
      <c r="L6" s="195" t="s">
        <v>1164</v>
      </c>
      <c r="M6" s="195" t="s">
        <v>1319</v>
      </c>
      <c r="N6" s="195" t="s">
        <v>1165</v>
      </c>
      <c r="O6" s="198" t="s">
        <v>463</v>
      </c>
      <c r="Q6" s="182" t="s">
        <v>1166</v>
      </c>
      <c r="U6" s="182" t="s">
        <v>1167</v>
      </c>
      <c r="Y6" s="182" t="s">
        <v>1168</v>
      </c>
    </row>
    <row r="7" spans="1:26" s="182" customFormat="1" ht="45.95" customHeight="1" thickBot="1">
      <c r="A7" s="626"/>
      <c r="B7" s="627"/>
      <c r="C7" s="199" t="s">
        <v>68</v>
      </c>
      <c r="D7" s="199" t="s">
        <v>69</v>
      </c>
      <c r="E7" s="199" t="s">
        <v>70</v>
      </c>
      <c r="F7" s="199" t="s">
        <v>71</v>
      </c>
      <c r="G7" s="200" t="s">
        <v>72</v>
      </c>
      <c r="H7" s="200" t="s">
        <v>73</v>
      </c>
      <c r="I7" s="199" t="s">
        <v>74</v>
      </c>
      <c r="J7" s="200" t="s">
        <v>420</v>
      </c>
      <c r="K7" s="199" t="s">
        <v>75</v>
      </c>
      <c r="L7" s="199" t="s">
        <v>76</v>
      </c>
      <c r="M7" s="199" t="s">
        <v>77</v>
      </c>
      <c r="N7" s="199" t="s">
        <v>419</v>
      </c>
      <c r="O7" s="201" t="s">
        <v>74</v>
      </c>
    </row>
    <row r="8" spans="1:26" ht="60.95" customHeight="1">
      <c r="A8" s="184" t="s">
        <v>717</v>
      </c>
      <c r="B8" s="186" t="s">
        <v>54</v>
      </c>
      <c r="C8" s="64">
        <v>0</v>
      </c>
      <c r="D8" s="64">
        <v>0</v>
      </c>
      <c r="E8" s="64">
        <v>0</v>
      </c>
      <c r="F8" s="64">
        <v>1</v>
      </c>
      <c r="G8" s="64">
        <v>3</v>
      </c>
      <c r="H8" s="64">
        <v>9</v>
      </c>
      <c r="I8" s="64">
        <v>10</v>
      </c>
      <c r="J8" s="64">
        <v>0</v>
      </c>
      <c r="K8" s="64">
        <v>6</v>
      </c>
      <c r="L8" s="64">
        <v>0</v>
      </c>
      <c r="M8" s="64">
        <v>1</v>
      </c>
      <c r="N8" s="64">
        <v>0</v>
      </c>
      <c r="O8" s="64">
        <v>0</v>
      </c>
      <c r="Q8" s="68">
        <v>8</v>
      </c>
      <c r="R8" s="68" t="b">
        <f>IF(H8=Q8,1)</f>
        <v>0</v>
      </c>
      <c r="U8" s="68">
        <v>4</v>
      </c>
      <c r="W8" s="68" t="b">
        <f>IF(U8=K8,1)</f>
        <v>0</v>
      </c>
      <c r="Y8" s="68">
        <v>1</v>
      </c>
      <c r="Z8" s="68" t="b">
        <f>IF(Y8=L8,1)</f>
        <v>0</v>
      </c>
    </row>
    <row r="9" spans="1:26" ht="60.95" customHeight="1">
      <c r="A9" s="184" t="s">
        <v>710</v>
      </c>
      <c r="B9" s="187" t="s">
        <v>55</v>
      </c>
      <c r="C9" s="64">
        <v>0</v>
      </c>
      <c r="D9" s="64">
        <v>0</v>
      </c>
      <c r="E9" s="64">
        <v>0</v>
      </c>
      <c r="F9" s="64">
        <v>1</v>
      </c>
      <c r="G9" s="64">
        <v>3</v>
      </c>
      <c r="H9" s="64">
        <v>9</v>
      </c>
      <c r="I9" s="64">
        <v>11</v>
      </c>
      <c r="J9" s="64">
        <v>0</v>
      </c>
      <c r="K9" s="64">
        <v>14</v>
      </c>
      <c r="L9" s="64">
        <v>2</v>
      </c>
      <c r="M9" s="64">
        <v>1</v>
      </c>
      <c r="N9" s="64">
        <v>1</v>
      </c>
      <c r="O9" s="64">
        <v>0</v>
      </c>
      <c r="Q9" s="68">
        <v>9</v>
      </c>
      <c r="R9" s="68">
        <f t="shared" ref="R9:R17" si="0">IF(H9=Q9,1)</f>
        <v>1</v>
      </c>
      <c r="U9" s="68">
        <v>6</v>
      </c>
      <c r="W9" s="68" t="b">
        <f t="shared" ref="W9:W17" si="1">IF(U9=K9,1)</f>
        <v>0</v>
      </c>
      <c r="Y9" s="68">
        <v>0</v>
      </c>
      <c r="Z9" s="68" t="b">
        <f t="shared" ref="Z9:Z17" si="2">IF(Y9=L9,1)</f>
        <v>0</v>
      </c>
    </row>
    <row r="10" spans="1:26" ht="60.95" customHeight="1">
      <c r="A10" s="184" t="s">
        <v>711</v>
      </c>
      <c r="B10" s="185" t="s">
        <v>30</v>
      </c>
      <c r="C10" s="64">
        <v>0</v>
      </c>
      <c r="D10" s="64">
        <v>0</v>
      </c>
      <c r="E10" s="64">
        <v>0</v>
      </c>
      <c r="F10" s="64">
        <v>1</v>
      </c>
      <c r="G10" s="64">
        <v>0</v>
      </c>
      <c r="H10" s="64">
        <v>7</v>
      </c>
      <c r="I10" s="64">
        <v>11</v>
      </c>
      <c r="J10" s="64">
        <v>0</v>
      </c>
      <c r="K10" s="64">
        <v>11</v>
      </c>
      <c r="L10" s="64">
        <v>3</v>
      </c>
      <c r="M10" s="64">
        <v>2</v>
      </c>
      <c r="N10" s="64">
        <v>2</v>
      </c>
      <c r="O10" s="64">
        <v>1</v>
      </c>
      <c r="Q10" s="68">
        <v>9</v>
      </c>
      <c r="R10" s="68" t="b">
        <f t="shared" si="0"/>
        <v>0</v>
      </c>
      <c r="U10" s="68">
        <v>14</v>
      </c>
      <c r="W10" s="68" t="b">
        <f t="shared" si="1"/>
        <v>0</v>
      </c>
      <c r="Y10" s="68">
        <v>2</v>
      </c>
      <c r="Z10" s="68" t="b">
        <f t="shared" si="2"/>
        <v>0</v>
      </c>
    </row>
    <row r="11" spans="1:26" ht="60.95" customHeight="1">
      <c r="A11" s="184" t="s">
        <v>712</v>
      </c>
      <c r="B11" s="185" t="s">
        <v>78</v>
      </c>
      <c r="C11" s="64">
        <v>0</v>
      </c>
      <c r="D11" s="64">
        <v>0</v>
      </c>
      <c r="E11" s="64">
        <v>0</v>
      </c>
      <c r="F11" s="64">
        <v>1</v>
      </c>
      <c r="G11" s="64">
        <v>4</v>
      </c>
      <c r="H11" s="64">
        <v>7</v>
      </c>
      <c r="I11" s="64">
        <v>15</v>
      </c>
      <c r="J11" s="64">
        <v>0</v>
      </c>
      <c r="K11" s="64">
        <v>12</v>
      </c>
      <c r="L11" s="64">
        <v>3</v>
      </c>
      <c r="M11" s="64">
        <v>2</v>
      </c>
      <c r="N11" s="64">
        <v>3</v>
      </c>
      <c r="O11" s="64">
        <v>1</v>
      </c>
      <c r="Q11" s="68">
        <v>7</v>
      </c>
      <c r="R11" s="68">
        <f t="shared" si="0"/>
        <v>1</v>
      </c>
      <c r="U11" s="68">
        <v>11</v>
      </c>
      <c r="W11" s="68" t="b">
        <f t="shared" si="1"/>
        <v>0</v>
      </c>
      <c r="Y11" s="68">
        <v>3</v>
      </c>
      <c r="Z11" s="68">
        <f t="shared" si="2"/>
        <v>1</v>
      </c>
    </row>
    <row r="12" spans="1:26" ht="60.95" customHeight="1">
      <c r="A12" s="184" t="s">
        <v>713</v>
      </c>
      <c r="B12" s="185" t="s">
        <v>32</v>
      </c>
      <c r="C12" s="64" t="s">
        <v>79</v>
      </c>
      <c r="D12" s="64">
        <v>0</v>
      </c>
      <c r="E12" s="64">
        <v>0</v>
      </c>
      <c r="F12" s="64">
        <v>1</v>
      </c>
      <c r="G12" s="64">
        <v>0</v>
      </c>
      <c r="H12" s="64">
        <v>11</v>
      </c>
      <c r="I12" s="64">
        <v>17</v>
      </c>
      <c r="J12" s="64">
        <v>0</v>
      </c>
      <c r="K12" s="64">
        <v>12</v>
      </c>
      <c r="L12" s="64">
        <v>2</v>
      </c>
      <c r="M12" s="64">
        <v>1</v>
      </c>
      <c r="N12" s="64">
        <v>2</v>
      </c>
      <c r="O12" s="64">
        <v>0</v>
      </c>
      <c r="Q12" s="68">
        <v>11</v>
      </c>
      <c r="R12" s="68">
        <f t="shared" si="0"/>
        <v>1</v>
      </c>
      <c r="U12" s="68">
        <v>12</v>
      </c>
      <c r="W12" s="68">
        <f t="shared" si="1"/>
        <v>1</v>
      </c>
      <c r="Y12" s="68">
        <v>3</v>
      </c>
      <c r="Z12" s="68" t="b">
        <f t="shared" si="2"/>
        <v>0</v>
      </c>
    </row>
    <row r="13" spans="1:26" ht="60.95" customHeight="1">
      <c r="A13" s="188" t="s">
        <v>714</v>
      </c>
      <c r="B13" s="185" t="s">
        <v>80</v>
      </c>
      <c r="C13" s="64" t="s">
        <v>79</v>
      </c>
      <c r="D13" s="64">
        <v>0</v>
      </c>
      <c r="E13" s="64">
        <v>0</v>
      </c>
      <c r="F13" s="64">
        <v>1</v>
      </c>
      <c r="G13" s="64">
        <v>0</v>
      </c>
      <c r="H13" s="64">
        <v>9</v>
      </c>
      <c r="I13" s="64">
        <v>16</v>
      </c>
      <c r="J13" s="64">
        <v>0</v>
      </c>
      <c r="K13" s="64">
        <v>2</v>
      </c>
      <c r="L13" s="64">
        <v>0</v>
      </c>
      <c r="M13" s="64">
        <v>3</v>
      </c>
      <c r="N13" s="64">
        <v>1</v>
      </c>
      <c r="O13" s="64">
        <v>0</v>
      </c>
      <c r="Q13" s="68">
        <v>11</v>
      </c>
      <c r="R13" s="68" t="b">
        <f t="shared" si="0"/>
        <v>0</v>
      </c>
      <c r="U13" s="68">
        <v>12</v>
      </c>
      <c r="W13" s="68" t="b">
        <f t="shared" si="1"/>
        <v>0</v>
      </c>
      <c r="Y13" s="68">
        <v>2</v>
      </c>
      <c r="Z13" s="68" t="b">
        <f t="shared" si="2"/>
        <v>0</v>
      </c>
    </row>
    <row r="14" spans="1:26" ht="60.95" customHeight="1">
      <c r="A14" s="188" t="s">
        <v>723</v>
      </c>
      <c r="B14" s="185" t="s">
        <v>737</v>
      </c>
      <c r="C14" s="77">
        <v>1</v>
      </c>
      <c r="D14" s="64">
        <v>0</v>
      </c>
      <c r="E14" s="64">
        <v>0</v>
      </c>
      <c r="F14" s="64">
        <v>1</v>
      </c>
      <c r="G14" s="64">
        <v>0</v>
      </c>
      <c r="H14" s="64">
        <v>8</v>
      </c>
      <c r="I14" s="64">
        <v>19</v>
      </c>
      <c r="J14" s="64">
        <v>0</v>
      </c>
      <c r="K14" s="64">
        <v>2</v>
      </c>
      <c r="L14" s="64">
        <v>0</v>
      </c>
      <c r="M14" s="64">
        <v>1</v>
      </c>
      <c r="N14" s="64">
        <v>1</v>
      </c>
      <c r="O14" s="64">
        <v>0</v>
      </c>
      <c r="Q14" s="68">
        <v>9</v>
      </c>
      <c r="R14" s="68" t="b">
        <f t="shared" si="0"/>
        <v>0</v>
      </c>
      <c r="U14" s="68">
        <v>2</v>
      </c>
      <c r="W14" s="68">
        <f t="shared" si="1"/>
        <v>1</v>
      </c>
      <c r="Y14" s="68">
        <v>0</v>
      </c>
      <c r="Z14" s="68">
        <f t="shared" si="2"/>
        <v>1</v>
      </c>
    </row>
    <row r="15" spans="1:26" ht="60.95" customHeight="1">
      <c r="A15" s="188" t="s">
        <v>735</v>
      </c>
      <c r="B15" s="185" t="s">
        <v>738</v>
      </c>
      <c r="C15" s="77">
        <v>1</v>
      </c>
      <c r="D15" s="64">
        <v>0</v>
      </c>
      <c r="E15" s="64">
        <v>0</v>
      </c>
      <c r="F15" s="64">
        <v>1</v>
      </c>
      <c r="G15" s="64">
        <v>0</v>
      </c>
      <c r="H15" s="64">
        <v>5</v>
      </c>
      <c r="I15" s="64">
        <v>5</v>
      </c>
      <c r="J15" s="64">
        <v>0</v>
      </c>
      <c r="K15" s="64">
        <v>1</v>
      </c>
      <c r="L15" s="64">
        <v>0</v>
      </c>
      <c r="M15" s="64">
        <v>1</v>
      </c>
      <c r="N15" s="64">
        <v>0</v>
      </c>
      <c r="O15" s="64">
        <v>0</v>
      </c>
      <c r="Q15" s="68">
        <v>8</v>
      </c>
      <c r="R15" s="68" t="b">
        <f t="shared" si="0"/>
        <v>0</v>
      </c>
      <c r="U15" s="68">
        <v>2</v>
      </c>
      <c r="W15" s="68" t="b">
        <f t="shared" si="1"/>
        <v>0</v>
      </c>
      <c r="Y15" s="68">
        <v>0</v>
      </c>
      <c r="Z15" s="68">
        <f t="shared" si="2"/>
        <v>1</v>
      </c>
    </row>
    <row r="16" spans="1:26" ht="60.95" customHeight="1">
      <c r="A16" s="188" t="s">
        <v>1320</v>
      </c>
      <c r="B16" s="185" t="s">
        <v>1040</v>
      </c>
      <c r="C16" s="64">
        <v>1</v>
      </c>
      <c r="D16" s="64">
        <v>0</v>
      </c>
      <c r="E16" s="64">
        <v>0</v>
      </c>
      <c r="F16" s="64">
        <v>1</v>
      </c>
      <c r="G16" s="64">
        <v>0</v>
      </c>
      <c r="H16" s="64">
        <v>5</v>
      </c>
      <c r="I16" s="64">
        <v>5</v>
      </c>
      <c r="J16" s="64">
        <v>0</v>
      </c>
      <c r="K16" s="64">
        <v>1</v>
      </c>
      <c r="L16" s="64">
        <v>0</v>
      </c>
      <c r="M16" s="64">
        <v>1</v>
      </c>
      <c r="N16" s="64">
        <v>0</v>
      </c>
      <c r="O16" s="64">
        <v>0</v>
      </c>
      <c r="Q16" s="68">
        <v>5</v>
      </c>
      <c r="R16" s="68">
        <f t="shared" si="0"/>
        <v>1</v>
      </c>
      <c r="U16" s="68">
        <v>1</v>
      </c>
      <c r="W16" s="68">
        <f t="shared" si="1"/>
        <v>1</v>
      </c>
      <c r="Y16" s="68">
        <v>0</v>
      </c>
      <c r="Z16" s="68">
        <f t="shared" si="2"/>
        <v>1</v>
      </c>
    </row>
    <row r="17" spans="1:26" ht="60.95" customHeight="1" thickBot="1">
      <c r="A17" s="412" t="s">
        <v>1317</v>
      </c>
      <c r="B17" s="410" t="s">
        <v>1247</v>
      </c>
      <c r="C17" s="411">
        <v>1</v>
      </c>
      <c r="D17" s="347">
        <v>0</v>
      </c>
      <c r="E17" s="347">
        <v>0</v>
      </c>
      <c r="F17" s="347">
        <v>1</v>
      </c>
      <c r="G17" s="347">
        <v>0</v>
      </c>
      <c r="H17" s="347">
        <v>5</v>
      </c>
      <c r="I17" s="347">
        <v>6</v>
      </c>
      <c r="J17" s="347">
        <v>0</v>
      </c>
      <c r="K17" s="347">
        <v>1</v>
      </c>
      <c r="L17" s="347">
        <v>0</v>
      </c>
      <c r="M17" s="347">
        <v>1</v>
      </c>
      <c r="N17" s="347">
        <v>0</v>
      </c>
      <c r="O17" s="347">
        <v>0</v>
      </c>
      <c r="Q17" s="68">
        <v>5</v>
      </c>
      <c r="R17" s="68">
        <f t="shared" si="0"/>
        <v>1</v>
      </c>
      <c r="U17" s="68">
        <v>1</v>
      </c>
      <c r="W17" s="68">
        <f t="shared" si="1"/>
        <v>1</v>
      </c>
      <c r="Y17" s="68">
        <v>0</v>
      </c>
      <c r="Z17" s="68">
        <f t="shared" si="2"/>
        <v>1</v>
      </c>
    </row>
    <row r="18" spans="1:26" s="69" customFormat="1" ht="15.95" customHeight="1">
      <c r="A18" s="189"/>
      <c r="B18" s="190"/>
      <c r="C18" s="70"/>
      <c r="D18" s="70"/>
      <c r="E18" s="70"/>
      <c r="I18" s="70"/>
      <c r="J18" s="70"/>
      <c r="K18" s="70"/>
      <c r="L18" s="70"/>
      <c r="M18" s="70"/>
    </row>
  </sheetData>
  <mergeCells count="9">
    <mergeCell ref="A6:B7"/>
    <mergeCell ref="A2:I2"/>
    <mergeCell ref="J2:O2"/>
    <mergeCell ref="H3:I3"/>
    <mergeCell ref="A4:B5"/>
    <mergeCell ref="C4:I4"/>
    <mergeCell ref="J4:O4"/>
    <mergeCell ref="C5:I5"/>
    <mergeCell ref="J5:O5"/>
  </mergeCells>
  <phoneticPr fontId="6" type="noConversion"/>
  <printOptions horizontalCentered="1"/>
  <pageMargins left="0.6692913385826772" right="0.6692913385826772" top="0.6692913385826772" bottom="0.6692913385826772" header="0.27559055118110237" footer="0.27559055118110237"/>
  <pageSetup paperSize="9" firstPageNumber="352" orientation="portrait" useFirstPageNumber="1"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工作表6"/>
  <dimension ref="A1:U47"/>
  <sheetViews>
    <sheetView showGridLines="0" view="pageBreakPreview" zoomScale="80" zoomScaleNormal="120" zoomScaleSheetLayoutView="80" workbookViewId="0">
      <pane xSplit="5" ySplit="10" topLeftCell="F32" activePane="bottomRight" state="frozen"/>
      <selection pane="topRight"/>
      <selection pane="bottomLeft"/>
      <selection pane="bottomRight" activeCell="N41" sqref="N41"/>
    </sheetView>
  </sheetViews>
  <sheetFormatPr defaultRowHeight="12.75"/>
  <cols>
    <col min="1" max="3" width="1.625" style="550" customWidth="1"/>
    <col min="4" max="4" width="12.125" style="550" customWidth="1"/>
    <col min="5" max="5" width="26.375" style="550" customWidth="1"/>
    <col min="6" max="6" width="9.125" style="31" customWidth="1"/>
    <col min="7" max="9" width="6.375" style="31" customWidth="1"/>
    <col min="10" max="11" width="8.25" style="31" customWidth="1"/>
    <col min="12" max="12" width="11.125" style="31" customWidth="1"/>
    <col min="13" max="15" width="7.625" style="31" customWidth="1"/>
    <col min="16" max="16" width="8.25" style="31" customWidth="1"/>
    <col min="17" max="20" width="10.625" style="31" customWidth="1"/>
    <col min="21" max="21" width="2.375" style="31" hidden="1" customWidth="1"/>
    <col min="22" max="16384" width="9" style="31"/>
  </cols>
  <sheetData>
    <row r="1" spans="1:20" s="550" customFormat="1" ht="18" customHeight="1">
      <c r="A1" s="121" t="s">
        <v>934</v>
      </c>
      <c r="C1" s="102"/>
      <c r="T1" s="543" t="s">
        <v>47</v>
      </c>
    </row>
    <row r="2" spans="1:20" s="550" customFormat="1" ht="24.95" customHeight="1">
      <c r="A2" s="529"/>
      <c r="B2" s="643" t="s">
        <v>1336</v>
      </c>
      <c r="C2" s="643"/>
      <c r="D2" s="643"/>
      <c r="E2" s="643"/>
      <c r="F2" s="643"/>
      <c r="G2" s="643"/>
      <c r="H2" s="643"/>
      <c r="I2" s="643"/>
      <c r="J2" s="643"/>
      <c r="K2" s="643"/>
      <c r="L2" s="643" t="s">
        <v>81</v>
      </c>
      <c r="M2" s="643"/>
      <c r="N2" s="643"/>
      <c r="O2" s="643"/>
      <c r="P2" s="643"/>
      <c r="Q2" s="643"/>
      <c r="R2" s="643"/>
      <c r="S2" s="643"/>
      <c r="T2" s="643"/>
    </row>
    <row r="3" spans="1:20" s="550" customFormat="1" ht="8.1" customHeight="1" thickBot="1">
      <c r="A3" s="542"/>
      <c r="B3" s="542"/>
      <c r="C3" s="542"/>
      <c r="D3" s="542"/>
      <c r="E3" s="542"/>
    </row>
    <row r="4" spans="1:20" s="550" customFormat="1" ht="14.1" customHeight="1">
      <c r="A4" s="644" t="s">
        <v>681</v>
      </c>
      <c r="B4" s="644"/>
      <c r="C4" s="644"/>
      <c r="D4" s="644"/>
      <c r="E4" s="645"/>
      <c r="F4" s="646" t="s">
        <v>682</v>
      </c>
      <c r="G4" s="647"/>
      <c r="H4" s="647"/>
      <c r="I4" s="647"/>
      <c r="J4" s="647"/>
      <c r="K4" s="648"/>
      <c r="L4" s="649" t="s">
        <v>1337</v>
      </c>
      <c r="M4" s="649"/>
      <c r="N4" s="649"/>
      <c r="O4" s="649"/>
      <c r="P4" s="649"/>
      <c r="Q4" s="650"/>
      <c r="R4" s="651" t="s">
        <v>1338</v>
      </c>
      <c r="S4" s="649"/>
      <c r="T4" s="649"/>
    </row>
    <row r="5" spans="1:20" s="550" customFormat="1" ht="14.1" customHeight="1">
      <c r="A5" s="644"/>
      <c r="B5" s="644"/>
      <c r="C5" s="644"/>
      <c r="D5" s="644"/>
      <c r="E5" s="645"/>
      <c r="F5" s="652" t="s">
        <v>683</v>
      </c>
      <c r="G5" s="655" t="s">
        <v>684</v>
      </c>
      <c r="H5" s="656"/>
      <c r="I5" s="656"/>
      <c r="J5" s="657"/>
      <c r="K5" s="658" t="s">
        <v>1339</v>
      </c>
      <c r="L5" s="661" t="s">
        <v>1340</v>
      </c>
      <c r="M5" s="656" t="s">
        <v>1341</v>
      </c>
      <c r="N5" s="656"/>
      <c r="O5" s="656"/>
      <c r="P5" s="657"/>
      <c r="Q5" s="658" t="s">
        <v>1339</v>
      </c>
      <c r="R5" s="658" t="s">
        <v>686</v>
      </c>
      <c r="S5" s="658" t="s">
        <v>687</v>
      </c>
      <c r="T5" s="664" t="s">
        <v>685</v>
      </c>
    </row>
    <row r="6" spans="1:20" s="550" customFormat="1" ht="14.1" customHeight="1">
      <c r="A6" s="644"/>
      <c r="B6" s="644"/>
      <c r="C6" s="644"/>
      <c r="D6" s="644"/>
      <c r="E6" s="645"/>
      <c r="F6" s="653"/>
      <c r="G6" s="667" t="s">
        <v>82</v>
      </c>
      <c r="H6" s="668"/>
      <c r="I6" s="668"/>
      <c r="J6" s="669"/>
      <c r="K6" s="659"/>
      <c r="L6" s="662"/>
      <c r="M6" s="667" t="s">
        <v>82</v>
      </c>
      <c r="N6" s="668"/>
      <c r="O6" s="668"/>
      <c r="P6" s="669"/>
      <c r="Q6" s="659"/>
      <c r="R6" s="659"/>
      <c r="S6" s="659"/>
      <c r="T6" s="665"/>
    </row>
    <row r="7" spans="1:20" s="550" customFormat="1" ht="14.1" customHeight="1">
      <c r="A7" s="644"/>
      <c r="B7" s="644"/>
      <c r="C7" s="644"/>
      <c r="D7" s="644"/>
      <c r="E7" s="645"/>
      <c r="F7" s="653"/>
      <c r="G7" s="655" t="s">
        <v>1321</v>
      </c>
      <c r="H7" s="656"/>
      <c r="I7" s="657"/>
      <c r="J7" s="658" t="s">
        <v>1342</v>
      </c>
      <c r="K7" s="659"/>
      <c r="L7" s="662"/>
      <c r="M7" s="655" t="s">
        <v>1321</v>
      </c>
      <c r="N7" s="656"/>
      <c r="O7" s="657"/>
      <c r="P7" s="658" t="s">
        <v>688</v>
      </c>
      <c r="Q7" s="659"/>
      <c r="R7" s="659"/>
      <c r="S7" s="659"/>
      <c r="T7" s="665"/>
    </row>
    <row r="8" spans="1:20" s="550" customFormat="1" ht="14.1" customHeight="1">
      <c r="A8" s="530"/>
      <c r="B8" s="530"/>
      <c r="C8" s="530"/>
      <c r="D8" s="530"/>
      <c r="E8" s="531"/>
      <c r="F8" s="653"/>
      <c r="G8" s="670" t="s">
        <v>83</v>
      </c>
      <c r="H8" s="644"/>
      <c r="I8" s="671"/>
      <c r="J8" s="659"/>
      <c r="K8" s="659"/>
      <c r="L8" s="662"/>
      <c r="M8" s="670" t="s">
        <v>83</v>
      </c>
      <c r="N8" s="644"/>
      <c r="O8" s="671"/>
      <c r="P8" s="659"/>
      <c r="Q8" s="659"/>
      <c r="R8" s="659"/>
      <c r="S8" s="659"/>
      <c r="T8" s="665"/>
    </row>
    <row r="9" spans="1:20" s="550" customFormat="1">
      <c r="A9" s="530"/>
      <c r="B9" s="530"/>
      <c r="C9" s="530"/>
      <c r="D9" s="530"/>
      <c r="E9" s="531"/>
      <c r="F9" s="653"/>
      <c r="G9" s="142" t="s">
        <v>1304</v>
      </c>
      <c r="H9" s="534" t="s">
        <v>464</v>
      </c>
      <c r="I9" s="534" t="s">
        <v>1323</v>
      </c>
      <c r="J9" s="659" t="s">
        <v>84</v>
      </c>
      <c r="K9" s="659"/>
      <c r="L9" s="662"/>
      <c r="M9" s="142" t="s">
        <v>440</v>
      </c>
      <c r="N9" s="534" t="s">
        <v>1322</v>
      </c>
      <c r="O9" s="534" t="s">
        <v>1323</v>
      </c>
      <c r="P9" s="659" t="s">
        <v>84</v>
      </c>
      <c r="Q9" s="659"/>
      <c r="R9" s="659"/>
      <c r="S9" s="659"/>
      <c r="T9" s="665"/>
    </row>
    <row r="10" spans="1:20" s="550" customFormat="1" ht="13.5" thickBot="1">
      <c r="A10" s="675" t="s">
        <v>85</v>
      </c>
      <c r="B10" s="675"/>
      <c r="C10" s="675"/>
      <c r="D10" s="675"/>
      <c r="E10" s="676"/>
      <c r="F10" s="654"/>
      <c r="G10" s="254" t="s">
        <v>86</v>
      </c>
      <c r="H10" s="254" t="s">
        <v>87</v>
      </c>
      <c r="I10" s="254" t="s">
        <v>88</v>
      </c>
      <c r="J10" s="660"/>
      <c r="K10" s="660"/>
      <c r="L10" s="663"/>
      <c r="M10" s="254" t="s">
        <v>86</v>
      </c>
      <c r="N10" s="254" t="s">
        <v>87</v>
      </c>
      <c r="O10" s="254" t="s">
        <v>88</v>
      </c>
      <c r="P10" s="660"/>
      <c r="Q10" s="660"/>
      <c r="R10" s="660"/>
      <c r="S10" s="660"/>
      <c r="T10" s="666"/>
    </row>
    <row r="11" spans="1:20" ht="17.25" customHeight="1">
      <c r="A11" s="677" t="s">
        <v>1335</v>
      </c>
      <c r="B11" s="677"/>
      <c r="C11" s="677"/>
      <c r="D11" s="677"/>
      <c r="E11" s="181" t="s">
        <v>54</v>
      </c>
      <c r="F11" s="396">
        <v>256</v>
      </c>
      <c r="G11" s="393">
        <v>205444</v>
      </c>
      <c r="H11" s="397">
        <v>126948</v>
      </c>
      <c r="I11" s="397">
        <f>G11-H11</f>
        <v>78496</v>
      </c>
      <c r="J11" s="393">
        <v>491</v>
      </c>
      <c r="K11" s="393">
        <v>66674800</v>
      </c>
      <c r="L11" s="393">
        <v>251</v>
      </c>
      <c r="M11" s="393">
        <f t="shared" ref="M11" si="0">G11</f>
        <v>205444</v>
      </c>
      <c r="N11" s="393">
        <f t="shared" ref="N11" si="1">H11</f>
        <v>126948</v>
      </c>
      <c r="O11" s="393">
        <f t="shared" ref="O11" si="2">I11</f>
        <v>78496</v>
      </c>
      <c r="P11" s="393">
        <v>0</v>
      </c>
      <c r="Q11" s="393">
        <v>66091200</v>
      </c>
      <c r="R11" s="393">
        <v>5</v>
      </c>
      <c r="S11" s="393">
        <v>491</v>
      </c>
      <c r="T11" s="393">
        <v>583600</v>
      </c>
    </row>
    <row r="12" spans="1:20" ht="17.25" customHeight="1">
      <c r="A12" s="674" t="s">
        <v>710</v>
      </c>
      <c r="B12" s="674"/>
      <c r="C12" s="674"/>
      <c r="D12" s="674"/>
      <c r="E12" s="181" t="s">
        <v>55</v>
      </c>
      <c r="F12" s="396">
        <v>233</v>
      </c>
      <c r="G12" s="393">
        <v>190768</v>
      </c>
      <c r="H12" s="393">
        <v>119209</v>
      </c>
      <c r="I12" s="393">
        <v>71559</v>
      </c>
      <c r="J12" s="393">
        <v>289</v>
      </c>
      <c r="K12" s="393">
        <v>64858320</v>
      </c>
      <c r="L12" s="393">
        <v>229</v>
      </c>
      <c r="M12" s="393">
        <v>190768</v>
      </c>
      <c r="N12" s="393">
        <v>119209</v>
      </c>
      <c r="O12" s="393">
        <v>71559</v>
      </c>
      <c r="P12" s="393">
        <v>0</v>
      </c>
      <c r="Q12" s="393">
        <v>64272320</v>
      </c>
      <c r="R12" s="393">
        <v>4</v>
      </c>
      <c r="S12" s="393">
        <v>289</v>
      </c>
      <c r="T12" s="395">
        <v>586000</v>
      </c>
    </row>
    <row r="13" spans="1:20" ht="17.25" customHeight="1">
      <c r="A13" s="674" t="s">
        <v>711</v>
      </c>
      <c r="B13" s="674"/>
      <c r="C13" s="674"/>
      <c r="D13" s="674"/>
      <c r="E13" s="181" t="s">
        <v>30</v>
      </c>
      <c r="F13" s="396">
        <v>222</v>
      </c>
      <c r="G13" s="393">
        <v>179898</v>
      </c>
      <c r="H13" s="393">
        <v>113446</v>
      </c>
      <c r="I13" s="393">
        <f>G13-H13</f>
        <v>66452</v>
      </c>
      <c r="J13" s="393">
        <v>284</v>
      </c>
      <c r="K13" s="393">
        <v>61705830</v>
      </c>
      <c r="L13" s="393">
        <v>218</v>
      </c>
      <c r="M13" s="393">
        <f t="shared" ref="M13:M14" si="3">G13</f>
        <v>179898</v>
      </c>
      <c r="N13" s="393">
        <f t="shared" ref="N13:N14" si="4">H13</f>
        <v>113446</v>
      </c>
      <c r="O13" s="393">
        <f t="shared" ref="O13:O14" si="5">I13</f>
        <v>66452</v>
      </c>
      <c r="P13" s="393">
        <v>26</v>
      </c>
      <c r="Q13" s="393">
        <v>61168230</v>
      </c>
      <c r="R13" s="393">
        <v>4</v>
      </c>
      <c r="S13" s="393">
        <v>258</v>
      </c>
      <c r="T13" s="393">
        <v>537600</v>
      </c>
    </row>
    <row r="14" spans="1:20" ht="17.25" customHeight="1">
      <c r="A14" s="674" t="s">
        <v>1269</v>
      </c>
      <c r="B14" s="674"/>
      <c r="C14" s="674"/>
      <c r="D14" s="674"/>
      <c r="E14" s="181" t="s">
        <v>1225</v>
      </c>
      <c r="F14" s="396">
        <v>202</v>
      </c>
      <c r="G14" s="393">
        <v>162590</v>
      </c>
      <c r="H14" s="393">
        <v>104607</v>
      </c>
      <c r="I14" s="393">
        <v>57983</v>
      </c>
      <c r="J14" s="393">
        <v>266</v>
      </c>
      <c r="K14" s="393">
        <v>59084440</v>
      </c>
      <c r="L14" s="393">
        <v>198</v>
      </c>
      <c r="M14" s="393">
        <f t="shared" si="3"/>
        <v>162590</v>
      </c>
      <c r="N14" s="393">
        <f t="shared" si="4"/>
        <v>104607</v>
      </c>
      <c r="O14" s="393">
        <f t="shared" si="5"/>
        <v>57983</v>
      </c>
      <c r="P14" s="395">
        <v>26</v>
      </c>
      <c r="Q14" s="393">
        <v>58570340</v>
      </c>
      <c r="R14" s="393">
        <v>4</v>
      </c>
      <c r="S14" s="393">
        <v>240</v>
      </c>
      <c r="T14" s="393">
        <v>514100</v>
      </c>
    </row>
    <row r="15" spans="1:20" ht="17.25" customHeight="1">
      <c r="A15" s="674" t="s">
        <v>1270</v>
      </c>
      <c r="B15" s="674"/>
      <c r="C15" s="674"/>
      <c r="D15" s="674"/>
      <c r="E15" s="181" t="s">
        <v>1226</v>
      </c>
      <c r="F15" s="396">
        <v>186</v>
      </c>
      <c r="G15" s="393">
        <v>152908</v>
      </c>
      <c r="H15" s="393">
        <v>100455</v>
      </c>
      <c r="I15" s="393">
        <v>52453</v>
      </c>
      <c r="J15" s="393">
        <v>233</v>
      </c>
      <c r="K15" s="393">
        <v>61440440</v>
      </c>
      <c r="L15" s="393">
        <v>182</v>
      </c>
      <c r="M15" s="393">
        <v>152908</v>
      </c>
      <c r="N15" s="393">
        <v>100455</v>
      </c>
      <c r="O15" s="393">
        <v>52453</v>
      </c>
      <c r="P15" s="395">
        <v>26</v>
      </c>
      <c r="Q15" s="393">
        <v>60091050</v>
      </c>
      <c r="R15" s="393">
        <v>4</v>
      </c>
      <c r="S15" s="393">
        <v>207</v>
      </c>
      <c r="T15" s="393">
        <v>468300</v>
      </c>
    </row>
    <row r="16" spans="1:20" ht="17.25" customHeight="1">
      <c r="A16" s="674" t="s">
        <v>1271</v>
      </c>
      <c r="B16" s="674"/>
      <c r="C16" s="674"/>
      <c r="D16" s="674"/>
      <c r="E16" s="181" t="s">
        <v>1227</v>
      </c>
      <c r="F16" s="396">
        <v>179</v>
      </c>
      <c r="G16" s="393">
        <v>148157</v>
      </c>
      <c r="H16" s="393">
        <v>99227</v>
      </c>
      <c r="I16" s="393">
        <v>48930</v>
      </c>
      <c r="J16" s="393">
        <v>213</v>
      </c>
      <c r="K16" s="393">
        <v>61042580</v>
      </c>
      <c r="L16" s="393">
        <v>175</v>
      </c>
      <c r="M16" s="393">
        <v>148157</v>
      </c>
      <c r="N16" s="393">
        <v>99227</v>
      </c>
      <c r="O16" s="393">
        <v>48930</v>
      </c>
      <c r="P16" s="395">
        <v>26</v>
      </c>
      <c r="Q16" s="393">
        <v>60083580</v>
      </c>
      <c r="R16" s="393">
        <v>4</v>
      </c>
      <c r="S16" s="393">
        <v>187</v>
      </c>
      <c r="T16" s="393">
        <v>959000</v>
      </c>
    </row>
    <row r="17" spans="1:20" ht="17.25" customHeight="1">
      <c r="A17" s="674" t="s">
        <v>1272</v>
      </c>
      <c r="B17" s="674"/>
      <c r="C17" s="674"/>
      <c r="D17" s="674"/>
      <c r="E17" s="181" t="s">
        <v>1228</v>
      </c>
      <c r="F17" s="396">
        <v>179</v>
      </c>
      <c r="G17" s="393">
        <v>146318</v>
      </c>
      <c r="H17" s="393">
        <v>98463</v>
      </c>
      <c r="I17" s="393">
        <v>47855</v>
      </c>
      <c r="J17" s="393">
        <v>213</v>
      </c>
      <c r="K17" s="393">
        <v>62745640</v>
      </c>
      <c r="L17" s="393">
        <v>175</v>
      </c>
      <c r="M17" s="393">
        <v>146318</v>
      </c>
      <c r="N17" s="393">
        <v>98463</v>
      </c>
      <c r="O17" s="393">
        <v>47855</v>
      </c>
      <c r="P17" s="395">
        <v>26</v>
      </c>
      <c r="Q17" s="393">
        <v>61786640</v>
      </c>
      <c r="R17" s="393">
        <v>4</v>
      </c>
      <c r="S17" s="393">
        <v>187</v>
      </c>
      <c r="T17" s="393">
        <v>959000</v>
      </c>
    </row>
    <row r="18" spans="1:20" ht="17.25" customHeight="1">
      <c r="A18" s="674" t="s">
        <v>1273</v>
      </c>
      <c r="B18" s="674"/>
      <c r="C18" s="674"/>
      <c r="D18" s="674"/>
      <c r="E18" s="181" t="s">
        <v>1229</v>
      </c>
      <c r="F18" s="393">
        <v>171</v>
      </c>
      <c r="G18" s="393">
        <v>133547</v>
      </c>
      <c r="H18" s="393">
        <v>90424</v>
      </c>
      <c r="I18" s="393">
        <v>43123</v>
      </c>
      <c r="J18" s="393">
        <v>107</v>
      </c>
      <c r="K18" s="393">
        <v>62560540</v>
      </c>
      <c r="L18" s="393">
        <v>168</v>
      </c>
      <c r="M18" s="393">
        <v>133547</v>
      </c>
      <c r="N18" s="393">
        <v>90424</v>
      </c>
      <c r="O18" s="393">
        <v>43123</v>
      </c>
      <c r="P18" s="393">
        <v>26</v>
      </c>
      <c r="Q18" s="393">
        <v>62460640</v>
      </c>
      <c r="R18" s="393">
        <v>3</v>
      </c>
      <c r="S18" s="393">
        <v>81</v>
      </c>
      <c r="T18" s="393">
        <v>99900</v>
      </c>
    </row>
    <row r="19" spans="1:20" ht="17.25" customHeight="1">
      <c r="A19" s="674" t="s">
        <v>1274</v>
      </c>
      <c r="B19" s="674"/>
      <c r="C19" s="674"/>
      <c r="D19" s="674"/>
      <c r="E19" s="181" t="s">
        <v>1230</v>
      </c>
      <c r="F19" s="393">
        <v>156</v>
      </c>
      <c r="G19" s="393">
        <v>130143</v>
      </c>
      <c r="H19" s="393">
        <v>88907</v>
      </c>
      <c r="I19" s="393">
        <v>41236</v>
      </c>
      <c r="J19" s="393">
        <v>109</v>
      </c>
      <c r="K19" s="393">
        <v>59131090</v>
      </c>
      <c r="L19" s="393">
        <v>153</v>
      </c>
      <c r="M19" s="393">
        <v>130143</v>
      </c>
      <c r="N19" s="393">
        <v>88907</v>
      </c>
      <c r="O19" s="393">
        <v>41236</v>
      </c>
      <c r="P19" s="393">
        <v>26</v>
      </c>
      <c r="Q19" s="393">
        <v>59031190</v>
      </c>
      <c r="R19" s="393">
        <v>3</v>
      </c>
      <c r="S19" s="393">
        <v>83</v>
      </c>
      <c r="T19" s="393">
        <v>99900</v>
      </c>
    </row>
    <row r="20" spans="1:20" ht="17.25" customHeight="1">
      <c r="A20" s="674" t="s">
        <v>1231</v>
      </c>
      <c r="B20" s="674"/>
      <c r="C20" s="674"/>
      <c r="D20" s="674"/>
      <c r="E20" s="181" t="s">
        <v>1224</v>
      </c>
      <c r="F20" s="396">
        <f t="shared" ref="F20:T20" si="6">F21+F43</f>
        <v>153</v>
      </c>
      <c r="G20" s="393">
        <f t="shared" si="6"/>
        <v>123631</v>
      </c>
      <c r="H20" s="393">
        <f t="shared" si="6"/>
        <v>85532</v>
      </c>
      <c r="I20" s="393">
        <f t="shared" si="6"/>
        <v>38099</v>
      </c>
      <c r="J20" s="393">
        <f t="shared" si="6"/>
        <v>109</v>
      </c>
      <c r="K20" s="393">
        <f t="shared" si="6"/>
        <v>57348550</v>
      </c>
      <c r="L20" s="393">
        <f t="shared" si="6"/>
        <v>150</v>
      </c>
      <c r="M20" s="393">
        <f t="shared" si="6"/>
        <v>123631</v>
      </c>
      <c r="N20" s="393">
        <f t="shared" si="6"/>
        <v>85532</v>
      </c>
      <c r="O20" s="393">
        <f t="shared" si="6"/>
        <v>38099</v>
      </c>
      <c r="P20" s="393">
        <f t="shared" si="6"/>
        <v>26</v>
      </c>
      <c r="Q20" s="393">
        <f t="shared" si="6"/>
        <v>57248650</v>
      </c>
      <c r="R20" s="393">
        <f t="shared" si="6"/>
        <v>3</v>
      </c>
      <c r="S20" s="393">
        <f t="shared" si="6"/>
        <v>83</v>
      </c>
      <c r="T20" s="393">
        <f t="shared" si="6"/>
        <v>99900</v>
      </c>
    </row>
    <row r="21" spans="1:20" ht="17.25" customHeight="1">
      <c r="B21" s="672" t="s">
        <v>689</v>
      </c>
      <c r="C21" s="673"/>
      <c r="D21" s="673"/>
      <c r="E21" s="181" t="s">
        <v>90</v>
      </c>
      <c r="F21" s="395">
        <f t="shared" ref="F21:S21" si="7">SUM(F22,F27,F35)</f>
        <v>124</v>
      </c>
      <c r="G21" s="395">
        <f t="shared" si="7"/>
        <v>121945</v>
      </c>
      <c r="H21" s="395">
        <f t="shared" si="7"/>
        <v>84366</v>
      </c>
      <c r="I21" s="395">
        <f t="shared" si="7"/>
        <v>37579</v>
      </c>
      <c r="J21" s="395">
        <f t="shared" si="7"/>
        <v>87</v>
      </c>
      <c r="K21" s="395">
        <f t="shared" si="7"/>
        <v>46799150</v>
      </c>
      <c r="L21" s="395">
        <f t="shared" si="7"/>
        <v>122</v>
      </c>
      <c r="M21" s="395">
        <f t="shared" si="7"/>
        <v>121945</v>
      </c>
      <c r="N21" s="395">
        <f t="shared" si="7"/>
        <v>84366</v>
      </c>
      <c r="O21" s="395">
        <f t="shared" si="7"/>
        <v>37579</v>
      </c>
      <c r="P21" s="395">
        <f t="shared" si="7"/>
        <v>26</v>
      </c>
      <c r="Q21" s="395">
        <f t="shared" si="7"/>
        <v>46727250</v>
      </c>
      <c r="R21" s="395">
        <f t="shared" si="7"/>
        <v>2</v>
      </c>
      <c r="S21" s="395">
        <f t="shared" si="7"/>
        <v>61</v>
      </c>
      <c r="T21" s="395">
        <f>SUM(T22,T27,T35,T41,T42)</f>
        <v>71900</v>
      </c>
    </row>
    <row r="22" spans="1:20" ht="17.25" customHeight="1">
      <c r="B22" s="530"/>
      <c r="C22" s="540" t="s">
        <v>690</v>
      </c>
      <c r="D22" s="540"/>
      <c r="E22" s="255" t="s">
        <v>91</v>
      </c>
      <c r="F22" s="396">
        <f>SUM(F23:F26)</f>
        <v>17</v>
      </c>
      <c r="G22" s="393">
        <f>SUM(G23:G26)</f>
        <v>535</v>
      </c>
      <c r="H22" s="393">
        <f t="shared" ref="H22:S22" si="8">SUM(H23:H26)</f>
        <v>412</v>
      </c>
      <c r="I22" s="393">
        <f t="shared" si="8"/>
        <v>123</v>
      </c>
      <c r="J22" s="393">
        <f t="shared" si="8"/>
        <v>0</v>
      </c>
      <c r="K22" s="393">
        <f>SUM(K23:K26)</f>
        <v>10721000</v>
      </c>
      <c r="L22" s="393">
        <f>SUM(L23:L26)</f>
        <v>17</v>
      </c>
      <c r="M22" s="393">
        <f>SUM(M23:M26)</f>
        <v>535</v>
      </c>
      <c r="N22" s="393">
        <f t="shared" si="8"/>
        <v>412</v>
      </c>
      <c r="O22" s="393">
        <f>SUM(O23:O26)</f>
        <v>123</v>
      </c>
      <c r="P22" s="393">
        <f>SUM(P23:P26)</f>
        <v>0</v>
      </c>
      <c r="Q22" s="393">
        <f>SUM(Q23:Q26)</f>
        <v>10721000</v>
      </c>
      <c r="R22" s="393">
        <f t="shared" si="8"/>
        <v>0</v>
      </c>
      <c r="S22" s="393">
        <f t="shared" si="8"/>
        <v>0</v>
      </c>
      <c r="T22" s="393">
        <v>0</v>
      </c>
    </row>
    <row r="23" spans="1:20" ht="17.25" customHeight="1">
      <c r="B23" s="539"/>
      <c r="C23" s="530"/>
      <c r="D23" s="540" t="s">
        <v>691</v>
      </c>
      <c r="E23" s="255" t="s">
        <v>92</v>
      </c>
      <c r="F23" s="396">
        <v>11</v>
      </c>
      <c r="G23" s="395">
        <f>H23+I23</f>
        <v>298</v>
      </c>
      <c r="H23" s="395">
        <v>240</v>
      </c>
      <c r="I23" s="395">
        <v>58</v>
      </c>
      <c r="J23" s="393">
        <v>0</v>
      </c>
      <c r="K23" s="395">
        <v>6389000</v>
      </c>
      <c r="L23" s="393">
        <v>11</v>
      </c>
      <c r="M23" s="395">
        <f>N23+O23</f>
        <v>298</v>
      </c>
      <c r="N23" s="395">
        <v>240</v>
      </c>
      <c r="O23" s="395">
        <v>58</v>
      </c>
      <c r="P23" s="393">
        <v>0</v>
      </c>
      <c r="Q23" s="395">
        <v>6389000</v>
      </c>
      <c r="R23" s="393">
        <v>0</v>
      </c>
      <c r="S23" s="393">
        <v>0</v>
      </c>
      <c r="T23" s="393">
        <v>0</v>
      </c>
    </row>
    <row r="24" spans="1:20" ht="17.25" customHeight="1">
      <c r="B24" s="539"/>
      <c r="C24" s="530"/>
      <c r="D24" s="540" t="s">
        <v>1331</v>
      </c>
      <c r="E24" s="255" t="s">
        <v>93</v>
      </c>
      <c r="F24" s="396">
        <v>5</v>
      </c>
      <c r="G24" s="395">
        <f>H24+I24</f>
        <v>209</v>
      </c>
      <c r="H24" s="395">
        <v>144</v>
      </c>
      <c r="I24" s="395">
        <v>65</v>
      </c>
      <c r="J24" s="393">
        <v>0</v>
      </c>
      <c r="K24" s="395">
        <v>4052000</v>
      </c>
      <c r="L24" s="393">
        <v>5</v>
      </c>
      <c r="M24" s="395">
        <f>N24+O24</f>
        <v>209</v>
      </c>
      <c r="N24" s="395">
        <v>144</v>
      </c>
      <c r="O24" s="395">
        <v>65</v>
      </c>
      <c r="P24" s="393">
        <v>0</v>
      </c>
      <c r="Q24" s="395">
        <v>4052000</v>
      </c>
      <c r="R24" s="393">
        <v>0</v>
      </c>
      <c r="S24" s="393">
        <v>0</v>
      </c>
      <c r="T24" s="393">
        <v>0</v>
      </c>
    </row>
    <row r="25" spans="1:20" ht="17.25" customHeight="1">
      <c r="B25" s="539"/>
      <c r="C25" s="530"/>
      <c r="D25" s="540" t="s">
        <v>1333</v>
      </c>
      <c r="E25" s="255" t="s">
        <v>1265</v>
      </c>
      <c r="F25" s="396">
        <v>0</v>
      </c>
      <c r="G25" s="393">
        <v>0</v>
      </c>
      <c r="H25" s="393">
        <v>0</v>
      </c>
      <c r="I25" s="393">
        <v>0</v>
      </c>
      <c r="J25" s="393">
        <v>0</v>
      </c>
      <c r="K25" s="393">
        <v>0</v>
      </c>
      <c r="L25" s="393">
        <v>0</v>
      </c>
      <c r="M25" s="395">
        <f>N25+O25</f>
        <v>0</v>
      </c>
      <c r="N25" s="393">
        <v>0</v>
      </c>
      <c r="O25" s="393">
        <v>0</v>
      </c>
      <c r="P25" s="393">
        <v>0</v>
      </c>
      <c r="Q25" s="393">
        <v>0</v>
      </c>
      <c r="R25" s="393">
        <v>0</v>
      </c>
      <c r="S25" s="393">
        <v>0</v>
      </c>
      <c r="T25" s="393">
        <v>0</v>
      </c>
    </row>
    <row r="26" spans="1:20" ht="17.25" customHeight="1">
      <c r="B26" s="539"/>
      <c r="C26" s="540"/>
      <c r="D26" s="540" t="s">
        <v>1332</v>
      </c>
      <c r="E26" s="255" t="s">
        <v>1266</v>
      </c>
      <c r="F26" s="393">
        <v>1</v>
      </c>
      <c r="G26" s="393">
        <v>28</v>
      </c>
      <c r="H26" s="393">
        <v>28</v>
      </c>
      <c r="I26" s="394">
        <v>0</v>
      </c>
      <c r="J26" s="393">
        <v>0</v>
      </c>
      <c r="K26" s="393">
        <v>280000</v>
      </c>
      <c r="L26" s="393">
        <v>1</v>
      </c>
      <c r="M26" s="395">
        <v>28</v>
      </c>
      <c r="N26" s="393">
        <v>28</v>
      </c>
      <c r="O26" s="393">
        <v>0</v>
      </c>
      <c r="P26" s="393">
        <v>0</v>
      </c>
      <c r="Q26" s="393">
        <v>280000</v>
      </c>
      <c r="R26" s="393">
        <v>0</v>
      </c>
      <c r="S26" s="393">
        <v>0</v>
      </c>
      <c r="T26" s="393">
        <v>0</v>
      </c>
    </row>
    <row r="27" spans="1:20" ht="17.25" customHeight="1">
      <c r="B27" s="530"/>
      <c r="C27" s="540" t="s">
        <v>1324</v>
      </c>
      <c r="D27" s="530"/>
      <c r="E27" s="255" t="s">
        <v>94</v>
      </c>
      <c r="F27" s="393">
        <f t="shared" ref="F27:T27" si="9">SUM(F28:F34)</f>
        <v>19</v>
      </c>
      <c r="G27" s="393">
        <f>SUM(G28:G34)</f>
        <v>1240</v>
      </c>
      <c r="H27" s="393">
        <f>SUM(H28:H34)</f>
        <v>1109</v>
      </c>
      <c r="I27" s="393">
        <f t="shared" si="9"/>
        <v>131</v>
      </c>
      <c r="J27" s="393">
        <f t="shared" si="9"/>
        <v>2</v>
      </c>
      <c r="K27" s="393">
        <f>SUM(K28:K34)</f>
        <v>13539000</v>
      </c>
      <c r="L27" s="393">
        <f t="shared" si="9"/>
        <v>18</v>
      </c>
      <c r="M27" s="393">
        <f t="shared" si="9"/>
        <v>1240</v>
      </c>
      <c r="N27" s="393">
        <f t="shared" si="9"/>
        <v>1109</v>
      </c>
      <c r="O27" s="393">
        <f t="shared" si="9"/>
        <v>131</v>
      </c>
      <c r="P27" s="393">
        <v>0</v>
      </c>
      <c r="Q27" s="393">
        <f t="shared" si="9"/>
        <v>13479000</v>
      </c>
      <c r="R27" s="393">
        <f t="shared" si="9"/>
        <v>1</v>
      </c>
      <c r="S27" s="393">
        <f t="shared" si="9"/>
        <v>2</v>
      </c>
      <c r="T27" s="393">
        <f t="shared" si="9"/>
        <v>60000</v>
      </c>
    </row>
    <row r="28" spans="1:20" ht="17.25" customHeight="1">
      <c r="B28" s="539"/>
      <c r="C28" s="530"/>
      <c r="D28" s="540" t="s">
        <v>1343</v>
      </c>
      <c r="E28" s="255" t="s">
        <v>95</v>
      </c>
      <c r="F28" s="396">
        <v>0</v>
      </c>
      <c r="G28" s="395">
        <v>0</v>
      </c>
      <c r="H28" s="395">
        <v>0</v>
      </c>
      <c r="I28" s="395">
        <v>0</v>
      </c>
      <c r="J28" s="395">
        <v>0</v>
      </c>
      <c r="K28" s="395">
        <v>0</v>
      </c>
      <c r="L28" s="393">
        <v>0</v>
      </c>
      <c r="M28" s="393">
        <f>N28+O28</f>
        <v>0</v>
      </c>
      <c r="N28" s="393">
        <v>0</v>
      </c>
      <c r="O28" s="395">
        <v>0</v>
      </c>
      <c r="P28" s="393">
        <v>0</v>
      </c>
      <c r="Q28" s="393">
        <v>0</v>
      </c>
      <c r="R28" s="393">
        <v>0</v>
      </c>
      <c r="S28" s="393">
        <v>0</v>
      </c>
      <c r="T28" s="393">
        <v>0</v>
      </c>
    </row>
    <row r="29" spans="1:20" ht="17.25" customHeight="1">
      <c r="B29" s="539"/>
      <c r="C29" s="530"/>
      <c r="D29" s="540" t="s">
        <v>1344</v>
      </c>
      <c r="E29" s="255" t="s">
        <v>96</v>
      </c>
      <c r="F29" s="396">
        <v>0</v>
      </c>
      <c r="G29" s="395">
        <v>0</v>
      </c>
      <c r="H29" s="395">
        <v>0</v>
      </c>
      <c r="I29" s="395">
        <v>0</v>
      </c>
      <c r="J29" s="395">
        <v>0</v>
      </c>
      <c r="K29" s="395">
        <v>0</v>
      </c>
      <c r="L29" s="393">
        <v>0</v>
      </c>
      <c r="M29" s="393">
        <f t="shared" ref="M29:M42" si="10">N29+O29</f>
        <v>0</v>
      </c>
      <c r="N29" s="393">
        <v>0</v>
      </c>
      <c r="O29" s="395">
        <v>0</v>
      </c>
      <c r="P29" s="393">
        <v>0</v>
      </c>
      <c r="Q29" s="393">
        <v>0</v>
      </c>
      <c r="R29" s="393">
        <v>0</v>
      </c>
      <c r="S29" s="393">
        <v>0</v>
      </c>
      <c r="T29" s="393">
        <v>0</v>
      </c>
    </row>
    <row r="30" spans="1:20" ht="17.25" customHeight="1">
      <c r="B30" s="539"/>
      <c r="C30" s="530"/>
      <c r="D30" s="540" t="s">
        <v>692</v>
      </c>
      <c r="E30" s="255" t="s">
        <v>97</v>
      </c>
      <c r="F30" s="396">
        <v>0</v>
      </c>
      <c r="G30" s="395">
        <v>0</v>
      </c>
      <c r="H30" s="395">
        <v>0</v>
      </c>
      <c r="I30" s="395">
        <v>0</v>
      </c>
      <c r="J30" s="395">
        <v>0</v>
      </c>
      <c r="K30" s="395">
        <v>0</v>
      </c>
      <c r="L30" s="393">
        <v>0</v>
      </c>
      <c r="M30" s="393">
        <f t="shared" si="10"/>
        <v>0</v>
      </c>
      <c r="N30" s="393">
        <v>0</v>
      </c>
      <c r="O30" s="395">
        <v>0</v>
      </c>
      <c r="P30" s="393">
        <v>0</v>
      </c>
      <c r="Q30" s="393">
        <v>0</v>
      </c>
      <c r="R30" s="393">
        <v>0</v>
      </c>
      <c r="S30" s="393">
        <v>0</v>
      </c>
      <c r="T30" s="393">
        <v>0</v>
      </c>
    </row>
    <row r="31" spans="1:20" ht="17.25" customHeight="1">
      <c r="B31" s="539"/>
      <c r="C31" s="530"/>
      <c r="D31" s="540" t="s">
        <v>1334</v>
      </c>
      <c r="E31" s="255" t="s">
        <v>98</v>
      </c>
      <c r="F31" s="396">
        <v>0</v>
      </c>
      <c r="G31" s="395">
        <v>0</v>
      </c>
      <c r="H31" s="395">
        <v>0</v>
      </c>
      <c r="I31" s="395">
        <v>0</v>
      </c>
      <c r="J31" s="395">
        <v>0</v>
      </c>
      <c r="K31" s="395">
        <v>0</v>
      </c>
      <c r="L31" s="393">
        <v>0</v>
      </c>
      <c r="M31" s="393">
        <f t="shared" si="10"/>
        <v>0</v>
      </c>
      <c r="N31" s="393">
        <v>0</v>
      </c>
      <c r="O31" s="395">
        <v>0</v>
      </c>
      <c r="P31" s="393">
        <v>0</v>
      </c>
      <c r="Q31" s="393">
        <v>0</v>
      </c>
      <c r="R31" s="393">
        <v>0</v>
      </c>
      <c r="S31" s="393">
        <v>0</v>
      </c>
      <c r="T31" s="393">
        <v>0</v>
      </c>
    </row>
    <row r="32" spans="1:20" ht="17.25" customHeight="1">
      <c r="B32" s="539"/>
      <c r="C32" s="530"/>
      <c r="D32" s="540" t="s">
        <v>693</v>
      </c>
      <c r="E32" s="255" t="s">
        <v>99</v>
      </c>
      <c r="F32" s="396">
        <v>4</v>
      </c>
      <c r="G32" s="395">
        <f>H32+I32</f>
        <v>103</v>
      </c>
      <c r="H32" s="395">
        <v>70</v>
      </c>
      <c r="I32" s="395">
        <v>33</v>
      </c>
      <c r="J32" s="395">
        <v>0</v>
      </c>
      <c r="K32" s="395">
        <v>719000</v>
      </c>
      <c r="L32" s="393">
        <v>4</v>
      </c>
      <c r="M32" s="393">
        <f t="shared" si="10"/>
        <v>103</v>
      </c>
      <c r="N32" s="395">
        <v>70</v>
      </c>
      <c r="O32" s="395">
        <v>33</v>
      </c>
      <c r="P32" s="393">
        <v>0</v>
      </c>
      <c r="Q32" s="395">
        <v>719000</v>
      </c>
      <c r="R32" s="393">
        <v>0</v>
      </c>
      <c r="S32" s="393">
        <v>0</v>
      </c>
      <c r="T32" s="393">
        <v>0</v>
      </c>
    </row>
    <row r="33" spans="1:21" ht="17.25" customHeight="1">
      <c r="B33" s="539"/>
      <c r="C33" s="530"/>
      <c r="D33" s="540" t="s">
        <v>694</v>
      </c>
      <c r="E33" s="255" t="s">
        <v>100</v>
      </c>
      <c r="F33" s="396">
        <v>8</v>
      </c>
      <c r="G33" s="395">
        <f>H33+I33</f>
        <v>981</v>
      </c>
      <c r="H33" s="395">
        <v>962</v>
      </c>
      <c r="I33" s="395">
        <v>19</v>
      </c>
      <c r="J33" s="393">
        <v>2</v>
      </c>
      <c r="K33" s="395">
        <v>9900000</v>
      </c>
      <c r="L33" s="393">
        <v>7</v>
      </c>
      <c r="M33" s="393">
        <f t="shared" si="10"/>
        <v>981</v>
      </c>
      <c r="N33" s="395">
        <v>962</v>
      </c>
      <c r="O33" s="395">
        <v>19</v>
      </c>
      <c r="P33" s="393">
        <v>0</v>
      </c>
      <c r="Q33" s="395">
        <v>9840000</v>
      </c>
      <c r="R33" s="393">
        <v>1</v>
      </c>
      <c r="S33" s="393">
        <v>2</v>
      </c>
      <c r="T33" s="393">
        <v>60000</v>
      </c>
    </row>
    <row r="34" spans="1:21" ht="17.25" customHeight="1">
      <c r="B34" s="539"/>
      <c r="C34" s="530"/>
      <c r="D34" s="540" t="s">
        <v>1325</v>
      </c>
      <c r="E34" s="255" t="s">
        <v>101</v>
      </c>
      <c r="F34" s="396">
        <v>7</v>
      </c>
      <c r="G34" s="395">
        <f>H34+I34</f>
        <v>156</v>
      </c>
      <c r="H34" s="395">
        <v>77</v>
      </c>
      <c r="I34" s="395">
        <v>79</v>
      </c>
      <c r="J34" s="395">
        <v>0</v>
      </c>
      <c r="K34" s="395">
        <v>2920000</v>
      </c>
      <c r="L34" s="393">
        <v>7</v>
      </c>
      <c r="M34" s="393">
        <f t="shared" si="10"/>
        <v>156</v>
      </c>
      <c r="N34" s="395">
        <v>77</v>
      </c>
      <c r="O34" s="395">
        <v>79</v>
      </c>
      <c r="P34" s="393">
        <v>0</v>
      </c>
      <c r="Q34" s="395">
        <v>2920000</v>
      </c>
      <c r="R34" s="393">
        <v>0</v>
      </c>
      <c r="S34" s="393">
        <v>0</v>
      </c>
      <c r="T34" s="393">
        <v>0</v>
      </c>
    </row>
    <row r="35" spans="1:21" ht="17.25" customHeight="1">
      <c r="B35" s="530"/>
      <c r="C35" s="540" t="s">
        <v>695</v>
      </c>
      <c r="D35" s="530"/>
      <c r="E35" s="255" t="s">
        <v>102</v>
      </c>
      <c r="F35" s="398">
        <f>SUM(F36:F40)</f>
        <v>88</v>
      </c>
      <c r="G35" s="395">
        <f>H35+I35</f>
        <v>120170</v>
      </c>
      <c r="H35" s="395">
        <f>SUM(H36:H40)</f>
        <v>82845</v>
      </c>
      <c r="I35" s="395">
        <f t="shared" ref="I35:S35" si="11">SUM(I36:I40)</f>
        <v>37325</v>
      </c>
      <c r="J35" s="395">
        <f t="shared" si="11"/>
        <v>85</v>
      </c>
      <c r="K35" s="395">
        <f>SUM(K36:K40)</f>
        <v>22539150</v>
      </c>
      <c r="L35" s="395">
        <f t="shared" si="11"/>
        <v>87</v>
      </c>
      <c r="M35" s="395">
        <f>SUM(M36:M40)</f>
        <v>120170</v>
      </c>
      <c r="N35" s="395">
        <f t="shared" si="11"/>
        <v>82845</v>
      </c>
      <c r="O35" s="395">
        <f>SUM(O36:O40)</f>
        <v>37325</v>
      </c>
      <c r="P35" s="395">
        <f t="shared" si="11"/>
        <v>26</v>
      </c>
      <c r="Q35" s="395">
        <f>SUM(Q36:Q40)</f>
        <v>22527250</v>
      </c>
      <c r="R35" s="395">
        <f t="shared" si="11"/>
        <v>1</v>
      </c>
      <c r="S35" s="395">
        <f t="shared" si="11"/>
        <v>59</v>
      </c>
      <c r="T35" s="395">
        <f>SUM(T36:T40)</f>
        <v>11900</v>
      </c>
      <c r="U35" s="256">
        <f>SUM(G36:G40)</f>
        <v>120170</v>
      </c>
    </row>
    <row r="36" spans="1:21" ht="17.25" customHeight="1">
      <c r="B36" s="539"/>
      <c r="C36" s="530"/>
      <c r="D36" s="540" t="s">
        <v>696</v>
      </c>
      <c r="E36" s="255" t="s">
        <v>103</v>
      </c>
      <c r="F36" s="398">
        <v>1</v>
      </c>
      <c r="G36" s="395">
        <f t="shared" ref="G36:G44" si="12">H36+I36</f>
        <v>319</v>
      </c>
      <c r="H36" s="395">
        <v>221</v>
      </c>
      <c r="I36" s="395">
        <v>98</v>
      </c>
      <c r="J36" s="395">
        <v>0</v>
      </c>
      <c r="K36" s="395">
        <v>1595000</v>
      </c>
      <c r="L36" s="395">
        <v>1</v>
      </c>
      <c r="M36" s="393">
        <f t="shared" si="10"/>
        <v>319</v>
      </c>
      <c r="N36" s="395">
        <v>221</v>
      </c>
      <c r="O36" s="395">
        <v>98</v>
      </c>
      <c r="P36" s="393">
        <v>0</v>
      </c>
      <c r="Q36" s="395">
        <v>1595000</v>
      </c>
      <c r="R36" s="393">
        <v>0</v>
      </c>
      <c r="S36" s="393">
        <v>0</v>
      </c>
      <c r="T36" s="393">
        <v>0</v>
      </c>
    </row>
    <row r="37" spans="1:21" ht="17.25" customHeight="1">
      <c r="B37" s="539"/>
      <c r="C37" s="530"/>
      <c r="D37" s="540" t="s">
        <v>1345</v>
      </c>
      <c r="E37" s="181" t="s">
        <v>104</v>
      </c>
      <c r="F37" s="398">
        <v>4</v>
      </c>
      <c r="G37" s="395">
        <f t="shared" si="12"/>
        <v>8013</v>
      </c>
      <c r="H37" s="395">
        <v>5700</v>
      </c>
      <c r="I37" s="395">
        <v>2313</v>
      </c>
      <c r="J37" s="395">
        <v>26</v>
      </c>
      <c r="K37" s="395">
        <v>7544500</v>
      </c>
      <c r="L37" s="395">
        <v>4</v>
      </c>
      <c r="M37" s="393">
        <f t="shared" si="10"/>
        <v>8013</v>
      </c>
      <c r="N37" s="395">
        <v>5700</v>
      </c>
      <c r="O37" s="395">
        <v>2313</v>
      </c>
      <c r="P37" s="395">
        <v>26</v>
      </c>
      <c r="Q37" s="395">
        <v>7544500</v>
      </c>
      <c r="R37" s="393">
        <v>0</v>
      </c>
      <c r="S37" s="393">
        <v>0</v>
      </c>
      <c r="T37" s="393">
        <v>0</v>
      </c>
    </row>
    <row r="38" spans="1:21" ht="17.25" customHeight="1">
      <c r="B38" s="539"/>
      <c r="C38" s="530"/>
      <c r="D38" s="540" t="s">
        <v>697</v>
      </c>
      <c r="E38" s="181" t="s">
        <v>105</v>
      </c>
      <c r="F38" s="395">
        <v>0</v>
      </c>
      <c r="G38" s="395">
        <f t="shared" si="12"/>
        <v>0</v>
      </c>
      <c r="H38" s="395">
        <v>0</v>
      </c>
      <c r="I38" s="395">
        <v>0</v>
      </c>
      <c r="J38" s="395">
        <v>0</v>
      </c>
      <c r="K38" s="395">
        <v>0</v>
      </c>
      <c r="L38" s="393">
        <v>0</v>
      </c>
      <c r="M38" s="393">
        <f t="shared" si="10"/>
        <v>0</v>
      </c>
      <c r="N38" s="393">
        <v>0</v>
      </c>
      <c r="O38" s="395">
        <v>0</v>
      </c>
      <c r="P38" s="393">
        <v>0</v>
      </c>
      <c r="Q38" s="393">
        <v>0</v>
      </c>
      <c r="R38" s="393">
        <v>0</v>
      </c>
      <c r="S38" s="393">
        <v>0</v>
      </c>
      <c r="T38" s="393">
        <v>0</v>
      </c>
    </row>
    <row r="39" spans="1:21" ht="17.25" customHeight="1">
      <c r="B39" s="539"/>
      <c r="C39" s="530"/>
      <c r="D39" s="540" t="s">
        <v>698</v>
      </c>
      <c r="E39" s="181" t="s">
        <v>106</v>
      </c>
      <c r="F39" s="398">
        <v>28</v>
      </c>
      <c r="G39" s="395">
        <f t="shared" si="12"/>
        <v>14691</v>
      </c>
      <c r="H39" s="395">
        <v>9702</v>
      </c>
      <c r="I39" s="395">
        <v>4989</v>
      </c>
      <c r="J39" s="395">
        <v>0</v>
      </c>
      <c r="K39" s="395">
        <v>8407070</v>
      </c>
      <c r="L39" s="395">
        <v>28</v>
      </c>
      <c r="M39" s="393">
        <f t="shared" si="10"/>
        <v>14691</v>
      </c>
      <c r="N39" s="395">
        <v>9702</v>
      </c>
      <c r="O39" s="395">
        <v>4989</v>
      </c>
      <c r="P39" s="393">
        <v>0</v>
      </c>
      <c r="Q39" s="395">
        <v>8407070</v>
      </c>
      <c r="R39" s="393">
        <v>0</v>
      </c>
      <c r="S39" s="393">
        <v>0</v>
      </c>
      <c r="T39" s="393">
        <v>0</v>
      </c>
    </row>
    <row r="40" spans="1:21" ht="17.25" customHeight="1">
      <c r="B40" s="539"/>
      <c r="C40" s="530"/>
      <c r="D40" s="540" t="s">
        <v>699</v>
      </c>
      <c r="E40" s="181" t="s">
        <v>107</v>
      </c>
      <c r="F40" s="398">
        <v>55</v>
      </c>
      <c r="G40" s="395">
        <f t="shared" si="12"/>
        <v>97147</v>
      </c>
      <c r="H40" s="395">
        <v>67222</v>
      </c>
      <c r="I40" s="395">
        <v>29925</v>
      </c>
      <c r="J40" s="395">
        <v>59</v>
      </c>
      <c r="K40" s="395">
        <v>4992580</v>
      </c>
      <c r="L40" s="395">
        <v>54</v>
      </c>
      <c r="M40" s="393">
        <f t="shared" si="10"/>
        <v>97147</v>
      </c>
      <c r="N40" s="395">
        <v>67222</v>
      </c>
      <c r="O40" s="395">
        <v>29925</v>
      </c>
      <c r="P40" s="393">
        <v>0</v>
      </c>
      <c r="Q40" s="395">
        <v>4980680</v>
      </c>
      <c r="R40" s="393">
        <v>1</v>
      </c>
      <c r="S40" s="393">
        <v>59</v>
      </c>
      <c r="T40" s="393">
        <v>11900</v>
      </c>
    </row>
    <row r="41" spans="1:21" ht="17.25" customHeight="1">
      <c r="B41" s="530"/>
      <c r="C41" s="540" t="s">
        <v>1326</v>
      </c>
      <c r="D41" s="540"/>
      <c r="E41" s="181" t="s">
        <v>108</v>
      </c>
      <c r="F41" s="398">
        <v>0</v>
      </c>
      <c r="G41" s="395">
        <f t="shared" si="12"/>
        <v>0</v>
      </c>
      <c r="H41" s="395">
        <v>0</v>
      </c>
      <c r="I41" s="395">
        <v>0</v>
      </c>
      <c r="J41" s="395">
        <v>0</v>
      </c>
      <c r="K41" s="395">
        <v>0</v>
      </c>
      <c r="L41" s="395">
        <v>0</v>
      </c>
      <c r="M41" s="393">
        <f t="shared" si="10"/>
        <v>0</v>
      </c>
      <c r="N41" s="395">
        <v>0</v>
      </c>
      <c r="O41" s="395">
        <v>0</v>
      </c>
      <c r="P41" s="395">
        <v>0</v>
      </c>
      <c r="Q41" s="395">
        <v>0</v>
      </c>
      <c r="R41" s="393">
        <v>0</v>
      </c>
      <c r="S41" s="393">
        <v>0</v>
      </c>
      <c r="T41" s="393">
        <v>0</v>
      </c>
    </row>
    <row r="42" spans="1:21" ht="17.25" customHeight="1">
      <c r="B42" s="530"/>
      <c r="C42" s="540" t="s">
        <v>700</v>
      </c>
      <c r="D42" s="540"/>
      <c r="E42" s="181" t="s">
        <v>109</v>
      </c>
      <c r="F42" s="398">
        <v>0</v>
      </c>
      <c r="G42" s="395">
        <f t="shared" si="12"/>
        <v>0</v>
      </c>
      <c r="H42" s="395">
        <v>0</v>
      </c>
      <c r="I42" s="395">
        <v>0</v>
      </c>
      <c r="J42" s="395">
        <v>0</v>
      </c>
      <c r="K42" s="395">
        <v>0</v>
      </c>
      <c r="L42" s="395">
        <v>0</v>
      </c>
      <c r="M42" s="393">
        <f t="shared" si="10"/>
        <v>0</v>
      </c>
      <c r="N42" s="395">
        <v>0</v>
      </c>
      <c r="O42" s="395">
        <v>0</v>
      </c>
      <c r="P42" s="395">
        <v>0</v>
      </c>
      <c r="Q42" s="395">
        <v>0</v>
      </c>
      <c r="R42" s="393">
        <v>0</v>
      </c>
      <c r="S42" s="393">
        <v>0</v>
      </c>
      <c r="T42" s="393">
        <v>0</v>
      </c>
    </row>
    <row r="43" spans="1:21" ht="17.25" customHeight="1">
      <c r="B43" s="540" t="s">
        <v>1327</v>
      </c>
      <c r="C43" s="530"/>
      <c r="D43" s="540"/>
      <c r="E43" s="181" t="s">
        <v>110</v>
      </c>
      <c r="F43" s="396">
        <f>SUM(F44:F46)</f>
        <v>29</v>
      </c>
      <c r="G43" s="395">
        <f>SUM(G44:G46)</f>
        <v>1686</v>
      </c>
      <c r="H43" s="395">
        <f t="shared" ref="H43:T43" si="13">SUM(H44:H46)</f>
        <v>1166</v>
      </c>
      <c r="I43" s="395">
        <f t="shared" si="13"/>
        <v>520</v>
      </c>
      <c r="J43" s="395">
        <f t="shared" si="13"/>
        <v>22</v>
      </c>
      <c r="K43" s="395">
        <f t="shared" si="13"/>
        <v>10549400</v>
      </c>
      <c r="L43" s="395">
        <f t="shared" si="13"/>
        <v>28</v>
      </c>
      <c r="M43" s="395">
        <f t="shared" si="13"/>
        <v>1686</v>
      </c>
      <c r="N43" s="395">
        <f t="shared" si="13"/>
        <v>1166</v>
      </c>
      <c r="O43" s="395">
        <f t="shared" si="13"/>
        <v>520</v>
      </c>
      <c r="P43" s="395">
        <f t="shared" si="13"/>
        <v>0</v>
      </c>
      <c r="Q43" s="395">
        <f t="shared" si="13"/>
        <v>10521400</v>
      </c>
      <c r="R43" s="395">
        <f t="shared" si="13"/>
        <v>1</v>
      </c>
      <c r="S43" s="395">
        <f t="shared" si="13"/>
        <v>22</v>
      </c>
      <c r="T43" s="395">
        <f t="shared" si="13"/>
        <v>28000</v>
      </c>
      <c r="U43" s="322">
        <f t="shared" ref="U43" si="14">SUM(U44:U46)</f>
        <v>0</v>
      </c>
    </row>
    <row r="44" spans="1:21" ht="17.25" customHeight="1">
      <c r="B44" s="540"/>
      <c r="C44" s="540" t="s">
        <v>1328</v>
      </c>
      <c r="D44" s="540"/>
      <c r="E44" s="181" t="s">
        <v>111</v>
      </c>
      <c r="F44" s="396">
        <v>0</v>
      </c>
      <c r="G44" s="395">
        <f t="shared" si="12"/>
        <v>0</v>
      </c>
      <c r="H44" s="393">
        <v>0</v>
      </c>
      <c r="I44" s="393">
        <v>0</v>
      </c>
      <c r="J44" s="393">
        <v>0</v>
      </c>
      <c r="K44" s="393">
        <v>0</v>
      </c>
      <c r="L44" s="395">
        <v>0</v>
      </c>
      <c r="M44" s="395">
        <v>0</v>
      </c>
      <c r="N44" s="395">
        <v>0</v>
      </c>
      <c r="O44" s="395">
        <v>0</v>
      </c>
      <c r="P44" s="395">
        <v>0</v>
      </c>
      <c r="Q44" s="395">
        <v>0</v>
      </c>
      <c r="R44" s="393">
        <v>0</v>
      </c>
      <c r="S44" s="393">
        <v>0</v>
      </c>
      <c r="T44" s="393">
        <v>0</v>
      </c>
    </row>
    <row r="45" spans="1:21" ht="17.25" customHeight="1">
      <c r="B45" s="540"/>
      <c r="C45" s="540" t="s">
        <v>1329</v>
      </c>
      <c r="D45" s="540"/>
      <c r="E45" s="181" t="s">
        <v>112</v>
      </c>
      <c r="F45" s="396">
        <v>2</v>
      </c>
      <c r="G45" s="395">
        <v>476</v>
      </c>
      <c r="H45" s="393">
        <v>301</v>
      </c>
      <c r="I45" s="393">
        <v>175</v>
      </c>
      <c r="J45" s="393">
        <v>0</v>
      </c>
      <c r="K45" s="395">
        <v>968000</v>
      </c>
      <c r="L45" s="393">
        <v>2</v>
      </c>
      <c r="M45" s="393">
        <v>476</v>
      </c>
      <c r="N45" s="395">
        <v>301</v>
      </c>
      <c r="O45" s="395">
        <v>175</v>
      </c>
      <c r="P45" s="393">
        <v>0</v>
      </c>
      <c r="Q45" s="393">
        <v>968000</v>
      </c>
      <c r="R45" s="393">
        <v>0</v>
      </c>
      <c r="S45" s="393">
        <v>0</v>
      </c>
      <c r="T45" s="393">
        <v>0</v>
      </c>
    </row>
    <row r="46" spans="1:21" ht="17.25" customHeight="1" thickBot="1">
      <c r="A46" s="542"/>
      <c r="B46" s="257"/>
      <c r="C46" s="257" t="s">
        <v>1330</v>
      </c>
      <c r="D46" s="257"/>
      <c r="E46" s="258" t="s">
        <v>113</v>
      </c>
      <c r="F46" s="399">
        <v>27</v>
      </c>
      <c r="G46" s="400">
        <v>1210</v>
      </c>
      <c r="H46" s="401">
        <v>865</v>
      </c>
      <c r="I46" s="401">
        <v>345</v>
      </c>
      <c r="J46" s="401">
        <v>22</v>
      </c>
      <c r="K46" s="400">
        <v>9581400</v>
      </c>
      <c r="L46" s="401">
        <v>26</v>
      </c>
      <c r="M46" s="401">
        <v>1210</v>
      </c>
      <c r="N46" s="400">
        <v>865</v>
      </c>
      <c r="O46" s="400">
        <v>345</v>
      </c>
      <c r="P46" s="401">
        <v>0</v>
      </c>
      <c r="Q46" s="400">
        <v>9553400</v>
      </c>
      <c r="R46" s="401">
        <v>1</v>
      </c>
      <c r="S46" s="401">
        <v>22</v>
      </c>
      <c r="T46" s="401">
        <v>28000</v>
      </c>
    </row>
    <row r="47" spans="1:21" s="550" customFormat="1" ht="12.95" customHeight="1">
      <c r="A47" s="102" t="s">
        <v>1346</v>
      </c>
      <c r="L47" s="541" t="s">
        <v>114</v>
      </c>
    </row>
  </sheetData>
  <mergeCells count="37">
    <mergeCell ref="B21:D21"/>
    <mergeCell ref="A19:D19"/>
    <mergeCell ref="A14:D14"/>
    <mergeCell ref="A10:E10"/>
    <mergeCell ref="A13:D13"/>
    <mergeCell ref="A15:D15"/>
    <mergeCell ref="A16:D16"/>
    <mergeCell ref="A17:D17"/>
    <mergeCell ref="A18:D18"/>
    <mergeCell ref="A20:D20"/>
    <mergeCell ref="A11:D11"/>
    <mergeCell ref="A12:D12"/>
    <mergeCell ref="Q5:Q10"/>
    <mergeCell ref="R5:R10"/>
    <mergeCell ref="P7:P8"/>
    <mergeCell ref="G8:I8"/>
    <mergeCell ref="M8:O8"/>
    <mergeCell ref="J9:J10"/>
    <mergeCell ref="M7:O7"/>
    <mergeCell ref="P9:P10"/>
    <mergeCell ref="M5:P5"/>
    <mergeCell ref="B2:K2"/>
    <mergeCell ref="L2:T2"/>
    <mergeCell ref="A4:E7"/>
    <mergeCell ref="F4:K4"/>
    <mergeCell ref="L4:Q4"/>
    <mergeCell ref="R4:T4"/>
    <mergeCell ref="F5:F10"/>
    <mergeCell ref="G5:J5"/>
    <mergeCell ref="K5:K10"/>
    <mergeCell ref="L5:L10"/>
    <mergeCell ref="S5:S10"/>
    <mergeCell ref="T5:T10"/>
    <mergeCell ref="G6:J6"/>
    <mergeCell ref="M6:P6"/>
    <mergeCell ref="G7:I7"/>
    <mergeCell ref="J7:J8"/>
  </mergeCells>
  <phoneticPr fontId="4" type="noConversion"/>
  <printOptions horizontalCentered="1"/>
  <pageMargins left="0.6692913385826772" right="0.6692913385826772" top="0.6692913385826772" bottom="0.6692913385826772" header="0.27559055118110237" footer="0.27559055118110237"/>
  <pageSetup paperSize="9" firstPageNumber="352" orientation="portrait" useFirstPageNumber="1" r:id="rId1"/>
  <headerFooter alignWithMargins="0"/>
  <ignoredErrors>
    <ignoredError sqref="F35 I35:L35 N35:T35" formulaRange="1"/>
    <ignoredError sqref="G35 M27 M35" formula="1"/>
    <ignoredError sqref="H35" formula="1" formulaRange="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工作表7"/>
  <dimension ref="A1:Y39"/>
  <sheetViews>
    <sheetView showGridLines="0" view="pageBreakPreview" zoomScale="90" zoomScaleNormal="85" zoomScaleSheetLayoutView="90" workbookViewId="0">
      <pane xSplit="1" ySplit="8" topLeftCell="B30" activePane="bottomRight" state="frozen"/>
      <selection pane="topRight"/>
      <selection pane="bottomLeft"/>
      <selection pane="bottomRight" activeCell="U31" sqref="U31"/>
    </sheetView>
  </sheetViews>
  <sheetFormatPr defaultRowHeight="12.75"/>
  <cols>
    <col min="1" max="1" width="19.25" style="550" customWidth="1"/>
    <col min="2" max="7" width="7.25" style="31" customWidth="1"/>
    <col min="8" max="9" width="8.75" style="31" customWidth="1"/>
    <col min="10" max="10" width="7.375" style="31" customWidth="1"/>
    <col min="11" max="14" width="6.5" style="31" customWidth="1"/>
    <col min="15" max="18" width="6.625" style="31" customWidth="1"/>
    <col min="19" max="19" width="6.75" style="31" customWidth="1"/>
    <col min="20" max="21" width="6.625" style="31" customWidth="1"/>
    <col min="22" max="23" width="7.875" style="31" customWidth="1"/>
    <col min="24" max="24" width="9" style="31"/>
    <col min="25" max="25" width="0" style="31" hidden="1" customWidth="1"/>
    <col min="26" max="16384" width="9" style="31"/>
  </cols>
  <sheetData>
    <row r="1" spans="1:25" s="550" customFormat="1" ht="18" customHeight="1">
      <c r="A1" s="121" t="s">
        <v>934</v>
      </c>
      <c r="V1" s="678" t="s">
        <v>115</v>
      </c>
      <c r="W1" s="678"/>
    </row>
    <row r="2" spans="1:25" s="544" customFormat="1" ht="24.95" customHeight="1">
      <c r="A2" s="679" t="s">
        <v>1214</v>
      </c>
      <c r="B2" s="679"/>
      <c r="C2" s="679"/>
      <c r="D2" s="679"/>
      <c r="E2" s="679"/>
      <c r="F2" s="679"/>
      <c r="G2" s="679"/>
      <c r="H2" s="679"/>
      <c r="I2" s="680"/>
      <c r="J2" s="680"/>
      <c r="K2" s="679" t="s">
        <v>116</v>
      </c>
      <c r="L2" s="679"/>
      <c r="M2" s="679"/>
      <c r="N2" s="679"/>
      <c r="O2" s="679"/>
      <c r="P2" s="679"/>
      <c r="Q2" s="679"/>
      <c r="R2" s="679"/>
      <c r="S2" s="679"/>
      <c r="T2" s="679"/>
      <c r="U2" s="679"/>
      <c r="V2" s="679"/>
      <c r="W2" s="679"/>
    </row>
    <row r="3" spans="1:25" s="550" customFormat="1" ht="9.9499999999999993" customHeight="1" thickBot="1">
      <c r="A3" s="542"/>
      <c r="B3" s="542"/>
      <c r="C3" s="542"/>
      <c r="D3" s="542"/>
      <c r="E3" s="542"/>
      <c r="F3" s="542"/>
      <c r="G3" s="542"/>
      <c r="H3" s="542"/>
      <c r="I3" s="542"/>
      <c r="J3" s="542"/>
      <c r="K3" s="542"/>
      <c r="L3" s="542"/>
      <c r="M3" s="542"/>
      <c r="N3" s="542"/>
      <c r="O3" s="542"/>
      <c r="P3" s="542"/>
      <c r="Q3" s="542"/>
      <c r="R3" s="542"/>
      <c r="S3" s="542"/>
      <c r="T3" s="542"/>
      <c r="U3" s="542"/>
    </row>
    <row r="4" spans="1:25" s="102" customFormat="1" ht="25.15" customHeight="1">
      <c r="A4" s="681" t="s">
        <v>1215</v>
      </c>
      <c r="B4" s="683" t="s">
        <v>1216</v>
      </c>
      <c r="C4" s="685" t="s">
        <v>1217</v>
      </c>
      <c r="D4" s="687" t="s">
        <v>1218</v>
      </c>
      <c r="E4" s="687" t="s">
        <v>1347</v>
      </c>
      <c r="F4" s="687" t="s">
        <v>1360</v>
      </c>
      <c r="G4" s="687" t="s">
        <v>1348</v>
      </c>
      <c r="H4" s="689" t="s">
        <v>1361</v>
      </c>
      <c r="I4" s="690"/>
      <c r="J4" s="687" t="s">
        <v>1349</v>
      </c>
      <c r="K4" s="691" t="s">
        <v>1350</v>
      </c>
      <c r="L4" s="691"/>
      <c r="M4" s="691"/>
      <c r="N4" s="691"/>
      <c r="O4" s="691"/>
      <c r="P4" s="691"/>
      <c r="Q4" s="691"/>
      <c r="R4" s="691"/>
      <c r="S4" s="691"/>
      <c r="T4" s="691"/>
      <c r="U4" s="691"/>
      <c r="V4" s="691"/>
      <c r="W4" s="691"/>
      <c r="Y4" s="250"/>
    </row>
    <row r="5" spans="1:25" s="540" customFormat="1" ht="25.15" customHeight="1">
      <c r="A5" s="682"/>
      <c r="B5" s="684"/>
      <c r="C5" s="686"/>
      <c r="D5" s="688"/>
      <c r="E5" s="688"/>
      <c r="F5" s="688"/>
      <c r="G5" s="688"/>
      <c r="H5" s="692" t="s">
        <v>117</v>
      </c>
      <c r="I5" s="693"/>
      <c r="J5" s="688"/>
      <c r="K5" s="694" t="s">
        <v>118</v>
      </c>
      <c r="L5" s="694"/>
      <c r="M5" s="694"/>
      <c r="N5" s="694"/>
      <c r="O5" s="694"/>
      <c r="P5" s="694"/>
      <c r="Q5" s="694"/>
      <c r="R5" s="694"/>
      <c r="S5" s="694"/>
      <c r="T5" s="694"/>
      <c r="U5" s="694"/>
      <c r="V5" s="694"/>
      <c r="W5" s="694"/>
    </row>
    <row r="6" spans="1:25" s="102" customFormat="1" ht="49.9" customHeight="1">
      <c r="A6" s="682"/>
      <c r="B6" s="175" t="s">
        <v>1362</v>
      </c>
      <c r="C6" s="545" t="s">
        <v>1363</v>
      </c>
      <c r="D6" s="545" t="s">
        <v>1364</v>
      </c>
      <c r="E6" s="545" t="s">
        <v>1370</v>
      </c>
      <c r="F6" s="545" t="s">
        <v>1364</v>
      </c>
      <c r="G6" s="545" t="s">
        <v>1362</v>
      </c>
      <c r="H6" s="176" t="s">
        <v>1359</v>
      </c>
      <c r="I6" s="176" t="s">
        <v>1351</v>
      </c>
      <c r="J6" s="546" t="s">
        <v>1365</v>
      </c>
      <c r="K6" s="548" t="s">
        <v>1352</v>
      </c>
      <c r="L6" s="548" t="s">
        <v>1353</v>
      </c>
      <c r="M6" s="176" t="s">
        <v>1354</v>
      </c>
      <c r="N6" s="176" t="s">
        <v>1355</v>
      </c>
      <c r="O6" s="176" t="s">
        <v>1356</v>
      </c>
      <c r="P6" s="547" t="s">
        <v>1357</v>
      </c>
      <c r="Q6" s="695" t="s">
        <v>1366</v>
      </c>
      <c r="R6" s="696"/>
      <c r="S6" s="548" t="s">
        <v>1358</v>
      </c>
      <c r="T6" s="176" t="s">
        <v>1219</v>
      </c>
      <c r="U6" s="547" t="s">
        <v>1220</v>
      </c>
      <c r="V6" s="697" t="s">
        <v>1221</v>
      </c>
      <c r="W6" s="698"/>
    </row>
    <row r="7" spans="1:25" s="102" customFormat="1" ht="46.9" customHeight="1">
      <c r="A7" s="682" t="s">
        <v>119</v>
      </c>
      <c r="B7" s="702" t="s">
        <v>120</v>
      </c>
      <c r="C7" s="699" t="s">
        <v>121</v>
      </c>
      <c r="D7" s="699" t="s">
        <v>122</v>
      </c>
      <c r="E7" s="699" t="s">
        <v>123</v>
      </c>
      <c r="F7" s="699" t="s">
        <v>124</v>
      </c>
      <c r="G7" s="699" t="s">
        <v>125</v>
      </c>
      <c r="H7" s="699" t="s">
        <v>126</v>
      </c>
      <c r="I7" s="699" t="s">
        <v>127</v>
      </c>
      <c r="J7" s="699" t="s">
        <v>128</v>
      </c>
      <c r="K7" s="177" t="s">
        <v>739</v>
      </c>
      <c r="L7" s="177" t="s">
        <v>739</v>
      </c>
      <c r="M7" s="545" t="s">
        <v>740</v>
      </c>
      <c r="N7" s="545" t="s">
        <v>741</v>
      </c>
      <c r="O7" s="545" t="s">
        <v>742</v>
      </c>
      <c r="P7" s="178" t="s">
        <v>743</v>
      </c>
      <c r="Q7" s="176" t="s">
        <v>744</v>
      </c>
      <c r="R7" s="176" t="s">
        <v>745</v>
      </c>
      <c r="S7" s="546" t="s">
        <v>740</v>
      </c>
      <c r="T7" s="545" t="s">
        <v>746</v>
      </c>
      <c r="U7" s="178" t="s">
        <v>747</v>
      </c>
      <c r="V7" s="176" t="s">
        <v>1038</v>
      </c>
      <c r="W7" s="547" t="s">
        <v>1037</v>
      </c>
    </row>
    <row r="8" spans="1:25" s="102" customFormat="1" ht="65.099999999999994" customHeight="1" thickBot="1">
      <c r="A8" s="701"/>
      <c r="B8" s="703"/>
      <c r="C8" s="700"/>
      <c r="D8" s="700"/>
      <c r="E8" s="700"/>
      <c r="F8" s="700"/>
      <c r="G8" s="700"/>
      <c r="H8" s="700"/>
      <c r="I8" s="700"/>
      <c r="J8" s="700"/>
      <c r="K8" s="179" t="s">
        <v>129</v>
      </c>
      <c r="L8" s="179" t="s">
        <v>130</v>
      </c>
      <c r="M8" s="549" t="s">
        <v>131</v>
      </c>
      <c r="N8" s="549" t="s">
        <v>132</v>
      </c>
      <c r="O8" s="549" t="s">
        <v>133</v>
      </c>
      <c r="P8" s="180" t="s">
        <v>134</v>
      </c>
      <c r="Q8" s="549" t="s">
        <v>135</v>
      </c>
      <c r="R8" s="549" t="s">
        <v>136</v>
      </c>
      <c r="S8" s="549" t="s">
        <v>137</v>
      </c>
      <c r="T8" s="549" t="s">
        <v>138</v>
      </c>
      <c r="U8" s="180" t="s">
        <v>139</v>
      </c>
      <c r="V8" s="549" t="s">
        <v>140</v>
      </c>
      <c r="W8" s="180" t="s">
        <v>141</v>
      </c>
      <c r="Y8" s="250" t="s">
        <v>1367</v>
      </c>
    </row>
    <row r="9" spans="1:25" s="46" customFormat="1" ht="20.85" customHeight="1">
      <c r="A9" s="541" t="s">
        <v>1275</v>
      </c>
      <c r="B9" s="87">
        <v>238</v>
      </c>
      <c r="C9" s="88">
        <v>443538</v>
      </c>
      <c r="D9" s="88">
        <v>1366528</v>
      </c>
      <c r="E9" s="259" t="s">
        <v>1371</v>
      </c>
      <c r="F9" s="88">
        <v>42070</v>
      </c>
      <c r="G9" s="88">
        <v>256</v>
      </c>
      <c r="H9" s="88">
        <v>61554178</v>
      </c>
      <c r="I9" s="88">
        <v>85327337</v>
      </c>
      <c r="J9" s="88">
        <v>205</v>
      </c>
      <c r="K9" s="88">
        <v>2733</v>
      </c>
      <c r="L9" s="88">
        <v>17921</v>
      </c>
      <c r="M9" s="88">
        <v>126</v>
      </c>
      <c r="N9" s="88">
        <v>216</v>
      </c>
      <c r="O9" s="88">
        <v>27</v>
      </c>
      <c r="P9" s="88">
        <v>121</v>
      </c>
      <c r="Q9" s="88">
        <v>99</v>
      </c>
      <c r="R9" s="259" t="s">
        <v>1371</v>
      </c>
      <c r="S9" s="259" t="s">
        <v>1371</v>
      </c>
      <c r="T9" s="88">
        <v>44</v>
      </c>
      <c r="U9" s="88">
        <v>47</v>
      </c>
      <c r="V9" s="259" t="s">
        <v>1371</v>
      </c>
      <c r="W9" s="259" t="s">
        <v>1371</v>
      </c>
    </row>
    <row r="10" spans="1:25" s="46" customFormat="1" ht="20.85" customHeight="1">
      <c r="A10" s="541" t="s">
        <v>1276</v>
      </c>
      <c r="B10" s="87">
        <v>239</v>
      </c>
      <c r="C10" s="88">
        <v>467148</v>
      </c>
      <c r="D10" s="88">
        <v>1409638</v>
      </c>
      <c r="E10" s="259" t="s">
        <v>1371</v>
      </c>
      <c r="F10" s="88">
        <v>45551</v>
      </c>
      <c r="G10" s="88">
        <v>260</v>
      </c>
      <c r="H10" s="88">
        <v>62574397</v>
      </c>
      <c r="I10" s="88">
        <v>35857990</v>
      </c>
      <c r="J10" s="88">
        <v>208</v>
      </c>
      <c r="K10" s="88">
        <v>2371</v>
      </c>
      <c r="L10" s="88">
        <v>19020</v>
      </c>
      <c r="M10" s="88">
        <v>104</v>
      </c>
      <c r="N10" s="88">
        <v>208</v>
      </c>
      <c r="O10" s="88">
        <v>26</v>
      </c>
      <c r="P10" s="88">
        <v>126</v>
      </c>
      <c r="Q10" s="88">
        <v>106</v>
      </c>
      <c r="R10" s="259" t="s">
        <v>1372</v>
      </c>
      <c r="S10" s="259" t="s">
        <v>1371</v>
      </c>
      <c r="T10" s="88">
        <v>34</v>
      </c>
      <c r="U10" s="88">
        <v>41</v>
      </c>
      <c r="V10" s="259" t="s">
        <v>1371</v>
      </c>
      <c r="W10" s="259" t="s">
        <v>1371</v>
      </c>
    </row>
    <row r="11" spans="1:25" s="46" customFormat="1" ht="20.25" customHeight="1">
      <c r="A11" s="541" t="s">
        <v>1277</v>
      </c>
      <c r="B11" s="87">
        <v>239</v>
      </c>
      <c r="C11" s="88">
        <v>466186</v>
      </c>
      <c r="D11" s="88">
        <v>1385194</v>
      </c>
      <c r="E11" s="259" t="s">
        <v>1371</v>
      </c>
      <c r="F11" s="88">
        <v>44219</v>
      </c>
      <c r="G11" s="88">
        <v>259</v>
      </c>
      <c r="H11" s="88">
        <v>71178437</v>
      </c>
      <c r="I11" s="88">
        <v>72104423</v>
      </c>
      <c r="J11" s="88">
        <v>205</v>
      </c>
      <c r="K11" s="88">
        <v>3521</v>
      </c>
      <c r="L11" s="88">
        <v>20197</v>
      </c>
      <c r="M11" s="88">
        <v>98</v>
      </c>
      <c r="N11" s="88">
        <v>222</v>
      </c>
      <c r="O11" s="88">
        <v>26</v>
      </c>
      <c r="P11" s="88">
        <v>121</v>
      </c>
      <c r="Q11" s="88">
        <v>104</v>
      </c>
      <c r="R11" s="259" t="s">
        <v>1371</v>
      </c>
      <c r="S11" s="259" t="s">
        <v>1371</v>
      </c>
      <c r="T11" s="88">
        <v>24</v>
      </c>
      <c r="U11" s="88">
        <v>37</v>
      </c>
      <c r="V11" s="259" t="s">
        <v>1371</v>
      </c>
      <c r="W11" s="259" t="s">
        <v>1371</v>
      </c>
    </row>
    <row r="12" spans="1:25" s="46" customFormat="1" ht="20.25" customHeight="1">
      <c r="A12" s="541" t="s">
        <v>1278</v>
      </c>
      <c r="B12" s="87">
        <v>239</v>
      </c>
      <c r="C12" s="88">
        <v>490255</v>
      </c>
      <c r="D12" s="88">
        <v>1438800</v>
      </c>
      <c r="E12" s="259">
        <v>4155</v>
      </c>
      <c r="F12" s="88">
        <v>44659</v>
      </c>
      <c r="G12" s="88">
        <v>272</v>
      </c>
      <c r="H12" s="88">
        <v>102533509</v>
      </c>
      <c r="I12" s="88">
        <v>90150913</v>
      </c>
      <c r="J12" s="88">
        <v>197</v>
      </c>
      <c r="K12" s="88">
        <v>6993</v>
      </c>
      <c r="L12" s="88">
        <v>27837</v>
      </c>
      <c r="M12" s="88">
        <v>77</v>
      </c>
      <c r="N12" s="88">
        <v>215</v>
      </c>
      <c r="O12" s="88">
        <v>24</v>
      </c>
      <c r="P12" s="88">
        <v>274</v>
      </c>
      <c r="Q12" s="88">
        <v>170</v>
      </c>
      <c r="R12" s="259">
        <v>7241</v>
      </c>
      <c r="S12" s="259">
        <v>58</v>
      </c>
      <c r="T12" s="88">
        <v>28</v>
      </c>
      <c r="U12" s="88">
        <v>94</v>
      </c>
      <c r="V12" s="259">
        <v>311656</v>
      </c>
      <c r="W12" s="259">
        <v>174153</v>
      </c>
    </row>
    <row r="13" spans="1:25" s="46" customFormat="1" ht="20.25" customHeight="1">
      <c r="A13" s="541" t="s">
        <v>1279</v>
      </c>
      <c r="B13" s="87">
        <v>239</v>
      </c>
      <c r="C13" s="88">
        <v>484581</v>
      </c>
      <c r="D13" s="88">
        <v>1411596</v>
      </c>
      <c r="E13" s="88">
        <v>4109</v>
      </c>
      <c r="F13" s="88">
        <v>44839</v>
      </c>
      <c r="G13" s="88">
        <v>271</v>
      </c>
      <c r="H13" s="88">
        <v>94795997</v>
      </c>
      <c r="I13" s="88">
        <v>88116251</v>
      </c>
      <c r="J13" s="88">
        <v>196</v>
      </c>
      <c r="K13" s="88">
        <v>5915</v>
      </c>
      <c r="L13" s="88">
        <v>27761</v>
      </c>
      <c r="M13" s="88">
        <v>93</v>
      </c>
      <c r="N13" s="88">
        <v>198</v>
      </c>
      <c r="O13" s="88">
        <v>24</v>
      </c>
      <c r="P13" s="88">
        <v>240</v>
      </c>
      <c r="Q13" s="88">
        <v>168</v>
      </c>
      <c r="R13" s="88">
        <v>7604</v>
      </c>
      <c r="S13" s="88">
        <v>66</v>
      </c>
      <c r="T13" s="88">
        <v>22</v>
      </c>
      <c r="U13" s="88">
        <v>85</v>
      </c>
      <c r="V13" s="88">
        <v>563042</v>
      </c>
      <c r="W13" s="88">
        <v>281185</v>
      </c>
    </row>
    <row r="14" spans="1:25" s="46" customFormat="1" ht="20.25" customHeight="1">
      <c r="A14" s="541" t="s">
        <v>1280</v>
      </c>
      <c r="B14" s="87">
        <v>242</v>
      </c>
      <c r="C14" s="88">
        <v>499041</v>
      </c>
      <c r="D14" s="88">
        <v>1433063</v>
      </c>
      <c r="E14" s="88">
        <v>4121</v>
      </c>
      <c r="F14" s="88">
        <v>45210</v>
      </c>
      <c r="G14" s="88">
        <v>269</v>
      </c>
      <c r="H14" s="88">
        <v>104551815</v>
      </c>
      <c r="I14" s="88">
        <v>89628204</v>
      </c>
      <c r="J14" s="88">
        <v>230</v>
      </c>
      <c r="K14" s="88">
        <v>6439</v>
      </c>
      <c r="L14" s="88">
        <v>34647</v>
      </c>
      <c r="M14" s="88">
        <v>70</v>
      </c>
      <c r="N14" s="88">
        <v>335</v>
      </c>
      <c r="O14" s="88">
        <v>24</v>
      </c>
      <c r="P14" s="88">
        <v>284</v>
      </c>
      <c r="Q14" s="88">
        <v>168</v>
      </c>
      <c r="R14" s="88">
        <v>7545</v>
      </c>
      <c r="S14" s="88">
        <v>81</v>
      </c>
      <c r="T14" s="88">
        <v>32</v>
      </c>
      <c r="U14" s="88">
        <v>87</v>
      </c>
      <c r="V14" s="88">
        <v>471222</v>
      </c>
      <c r="W14" s="88">
        <v>495739</v>
      </c>
    </row>
    <row r="15" spans="1:25" s="46" customFormat="1" ht="20.25" customHeight="1">
      <c r="A15" s="541" t="s">
        <v>1281</v>
      </c>
      <c r="B15" s="87">
        <v>248</v>
      </c>
      <c r="C15" s="88">
        <v>513584</v>
      </c>
      <c r="D15" s="88">
        <v>1469796</v>
      </c>
      <c r="E15" s="88">
        <v>4203</v>
      </c>
      <c r="F15" s="88">
        <v>45848</v>
      </c>
      <c r="G15" s="88">
        <v>230</v>
      </c>
      <c r="H15" s="88">
        <v>97434985</v>
      </c>
      <c r="I15" s="88">
        <v>81408849</v>
      </c>
      <c r="J15" s="88">
        <v>206</v>
      </c>
      <c r="K15" s="88">
        <v>7934</v>
      </c>
      <c r="L15" s="88">
        <v>30214</v>
      </c>
      <c r="M15" s="88">
        <v>40</v>
      </c>
      <c r="N15" s="88">
        <v>415</v>
      </c>
      <c r="O15" s="88">
        <v>49</v>
      </c>
      <c r="P15" s="88">
        <v>272</v>
      </c>
      <c r="Q15" s="88">
        <v>215</v>
      </c>
      <c r="R15" s="88">
        <v>8844</v>
      </c>
      <c r="S15" s="88">
        <v>94</v>
      </c>
      <c r="T15" s="88">
        <v>29</v>
      </c>
      <c r="U15" s="88">
        <v>101</v>
      </c>
      <c r="V15" s="88">
        <v>582677</v>
      </c>
      <c r="W15" s="88">
        <v>259954</v>
      </c>
    </row>
    <row r="16" spans="1:25" s="46" customFormat="1" ht="20.25" customHeight="1">
      <c r="A16" s="541" t="s">
        <v>1282</v>
      </c>
      <c r="B16" s="87">
        <v>258</v>
      </c>
      <c r="C16" s="88">
        <v>537186</v>
      </c>
      <c r="D16" s="88">
        <v>1522504</v>
      </c>
      <c r="E16" s="88">
        <v>4453</v>
      </c>
      <c r="F16" s="88">
        <v>46996</v>
      </c>
      <c r="G16" s="88">
        <v>248</v>
      </c>
      <c r="H16" s="88">
        <v>116694768</v>
      </c>
      <c r="I16" s="88">
        <v>77747465</v>
      </c>
      <c r="J16" s="88">
        <v>213</v>
      </c>
      <c r="K16" s="88">
        <v>8478</v>
      </c>
      <c r="L16" s="88">
        <v>28100</v>
      </c>
      <c r="M16" s="88">
        <v>32</v>
      </c>
      <c r="N16" s="88">
        <v>477</v>
      </c>
      <c r="O16" s="88">
        <v>64</v>
      </c>
      <c r="P16" s="88">
        <v>282</v>
      </c>
      <c r="Q16" s="88">
        <v>221</v>
      </c>
      <c r="R16" s="88">
        <v>8507</v>
      </c>
      <c r="S16" s="88">
        <v>109</v>
      </c>
      <c r="T16" s="88">
        <v>34</v>
      </c>
      <c r="U16" s="88">
        <v>124</v>
      </c>
      <c r="V16" s="88">
        <v>560795</v>
      </c>
      <c r="W16" s="88">
        <v>188361</v>
      </c>
    </row>
    <row r="17" spans="1:25" s="46" customFormat="1" ht="20.25" customHeight="1">
      <c r="A17" s="541" t="s">
        <v>1283</v>
      </c>
      <c r="B17" s="87">
        <v>264</v>
      </c>
      <c r="C17" s="88">
        <v>609262</v>
      </c>
      <c r="D17" s="88">
        <v>1707678</v>
      </c>
      <c r="E17" s="88">
        <v>4545</v>
      </c>
      <c r="F17" s="88">
        <v>49249</v>
      </c>
      <c r="G17" s="88">
        <v>248</v>
      </c>
      <c r="H17" s="88">
        <v>156187120</v>
      </c>
      <c r="I17" s="88">
        <v>84261618</v>
      </c>
      <c r="J17" s="88">
        <v>214</v>
      </c>
      <c r="K17" s="88">
        <v>6886</v>
      </c>
      <c r="L17" s="88">
        <v>27770</v>
      </c>
      <c r="M17" s="88">
        <v>33</v>
      </c>
      <c r="N17" s="88">
        <v>529</v>
      </c>
      <c r="O17" s="88">
        <v>47</v>
      </c>
      <c r="P17" s="88">
        <v>303</v>
      </c>
      <c r="Q17" s="88">
        <v>212</v>
      </c>
      <c r="R17" s="88">
        <v>9418</v>
      </c>
      <c r="S17" s="88">
        <v>132</v>
      </c>
      <c r="T17" s="88">
        <v>30</v>
      </c>
      <c r="U17" s="88">
        <v>92</v>
      </c>
      <c r="V17" s="88">
        <v>706866</v>
      </c>
      <c r="W17" s="88">
        <v>257263</v>
      </c>
    </row>
    <row r="18" spans="1:25" s="46" customFormat="1" ht="20.25" customHeight="1">
      <c r="A18" s="541" t="s">
        <v>1232</v>
      </c>
      <c r="B18" s="87">
        <f>SUM(B19:B31)</f>
        <v>278</v>
      </c>
      <c r="C18" s="88">
        <f>SUM(C19:C31)</f>
        <v>624404</v>
      </c>
      <c r="D18" s="88">
        <f>SUM(D19:D31)</f>
        <v>1739537</v>
      </c>
      <c r="E18" s="88">
        <f>SUM(E19:E31)</f>
        <v>4769</v>
      </c>
      <c r="F18" s="88">
        <f t="shared" ref="F18:W18" si="0">SUM(F19:F31)</f>
        <v>51110</v>
      </c>
      <c r="G18" s="88">
        <f t="shared" si="0"/>
        <v>260</v>
      </c>
      <c r="H18" s="88">
        <f>SUM(H19:H31)</f>
        <v>181394381</v>
      </c>
      <c r="I18" s="88">
        <f>SUM(I19:I31)</f>
        <v>73810699</v>
      </c>
      <c r="J18" s="88">
        <f t="shared" si="0"/>
        <v>211</v>
      </c>
      <c r="K18" s="88">
        <f t="shared" si="0"/>
        <v>7363</v>
      </c>
      <c r="L18" s="88">
        <f t="shared" si="0"/>
        <v>29725</v>
      </c>
      <c r="M18" s="88">
        <f t="shared" si="0"/>
        <v>29</v>
      </c>
      <c r="N18" s="88">
        <f t="shared" si="0"/>
        <v>560</v>
      </c>
      <c r="O18" s="88">
        <f t="shared" si="0"/>
        <v>48</v>
      </c>
      <c r="P18" s="88">
        <f t="shared" si="0"/>
        <v>270</v>
      </c>
      <c r="Q18" s="88">
        <f t="shared" si="0"/>
        <v>235</v>
      </c>
      <c r="R18" s="88">
        <f t="shared" si="0"/>
        <v>10403</v>
      </c>
      <c r="S18" s="88">
        <f t="shared" si="0"/>
        <v>153</v>
      </c>
      <c r="T18" s="88">
        <f t="shared" si="0"/>
        <v>29</v>
      </c>
      <c r="U18" s="88">
        <f t="shared" si="0"/>
        <v>86</v>
      </c>
      <c r="V18" s="88">
        <f t="shared" si="0"/>
        <v>884561</v>
      </c>
      <c r="W18" s="88">
        <f t="shared" si="0"/>
        <v>433911</v>
      </c>
      <c r="X18" s="88"/>
      <c r="Y18" s="88"/>
    </row>
    <row r="19" spans="1:25" ht="20.25" customHeight="1">
      <c r="A19" s="562" t="s">
        <v>656</v>
      </c>
      <c r="B19" s="87">
        <v>20</v>
      </c>
      <c r="C19" s="88">
        <v>103161</v>
      </c>
      <c r="D19" s="88">
        <v>271366</v>
      </c>
      <c r="E19" s="88">
        <v>354</v>
      </c>
      <c r="F19" s="88">
        <v>3399</v>
      </c>
      <c r="G19" s="88">
        <v>11</v>
      </c>
      <c r="H19" s="88">
        <v>10792654</v>
      </c>
      <c r="I19" s="88">
        <v>8018176</v>
      </c>
      <c r="J19" s="88">
        <v>12</v>
      </c>
      <c r="K19" s="88">
        <v>615</v>
      </c>
      <c r="L19" s="88">
        <v>2053</v>
      </c>
      <c r="M19" s="88">
        <v>6</v>
      </c>
      <c r="N19" s="88">
        <v>39</v>
      </c>
      <c r="O19" s="88">
        <v>0</v>
      </c>
      <c r="P19" s="88">
        <v>23</v>
      </c>
      <c r="Q19" s="88">
        <v>14</v>
      </c>
      <c r="R19" s="88">
        <v>617</v>
      </c>
      <c r="S19" s="88">
        <v>7</v>
      </c>
      <c r="T19" s="88">
        <v>3</v>
      </c>
      <c r="U19" s="88">
        <v>1</v>
      </c>
      <c r="V19" s="88">
        <v>48739</v>
      </c>
      <c r="W19" s="88">
        <v>34879</v>
      </c>
    </row>
    <row r="20" spans="1:25" ht="20.25" customHeight="1">
      <c r="A20" s="562" t="s">
        <v>657</v>
      </c>
      <c r="B20" s="87">
        <v>23</v>
      </c>
      <c r="C20" s="88">
        <v>68116</v>
      </c>
      <c r="D20" s="88">
        <v>195630</v>
      </c>
      <c r="E20" s="88">
        <v>348</v>
      </c>
      <c r="F20" s="88">
        <v>3072</v>
      </c>
      <c r="G20" s="88">
        <v>17</v>
      </c>
      <c r="H20" s="88">
        <v>9778036</v>
      </c>
      <c r="I20" s="88">
        <v>3726446</v>
      </c>
      <c r="J20" s="88">
        <v>13</v>
      </c>
      <c r="K20" s="88">
        <v>434</v>
      </c>
      <c r="L20" s="88">
        <v>2216</v>
      </c>
      <c r="M20" s="88">
        <v>0</v>
      </c>
      <c r="N20" s="88">
        <v>47</v>
      </c>
      <c r="O20" s="88">
        <v>0</v>
      </c>
      <c r="P20" s="88">
        <v>11</v>
      </c>
      <c r="Q20" s="88">
        <v>15</v>
      </c>
      <c r="R20" s="88">
        <v>645</v>
      </c>
      <c r="S20" s="88">
        <v>11</v>
      </c>
      <c r="T20" s="88">
        <v>2</v>
      </c>
      <c r="U20" s="88">
        <v>0</v>
      </c>
      <c r="V20" s="88">
        <v>64457</v>
      </c>
      <c r="W20" s="88">
        <v>41049</v>
      </c>
    </row>
    <row r="21" spans="1:25" ht="20.25" customHeight="1">
      <c r="A21" s="562" t="s">
        <v>658</v>
      </c>
      <c r="B21" s="87">
        <v>21</v>
      </c>
      <c r="C21" s="88">
        <v>31076</v>
      </c>
      <c r="D21" s="88">
        <v>91431</v>
      </c>
      <c r="E21" s="88">
        <v>307</v>
      </c>
      <c r="F21" s="88">
        <v>3376</v>
      </c>
      <c r="G21" s="88">
        <v>18</v>
      </c>
      <c r="H21" s="88">
        <v>7650551</v>
      </c>
      <c r="I21" s="88">
        <v>4322175</v>
      </c>
      <c r="J21" s="88">
        <v>20</v>
      </c>
      <c r="K21" s="88">
        <v>881</v>
      </c>
      <c r="L21" s="88">
        <v>2194</v>
      </c>
      <c r="M21" s="88">
        <v>3</v>
      </c>
      <c r="N21" s="88">
        <v>26</v>
      </c>
      <c r="O21" s="88">
        <v>2</v>
      </c>
      <c r="P21" s="88">
        <v>11</v>
      </c>
      <c r="Q21" s="88">
        <v>1</v>
      </c>
      <c r="R21" s="88">
        <v>604</v>
      </c>
      <c r="S21" s="88">
        <v>10</v>
      </c>
      <c r="T21" s="88">
        <v>3</v>
      </c>
      <c r="U21" s="88">
        <v>6</v>
      </c>
      <c r="V21" s="88">
        <v>34010</v>
      </c>
      <c r="W21" s="88">
        <v>47711</v>
      </c>
    </row>
    <row r="22" spans="1:25" ht="20.25" customHeight="1">
      <c r="A22" s="562" t="s">
        <v>659</v>
      </c>
      <c r="B22" s="87">
        <v>19</v>
      </c>
      <c r="C22" s="88">
        <v>41940</v>
      </c>
      <c r="D22" s="88">
        <v>121838</v>
      </c>
      <c r="E22" s="88">
        <v>292</v>
      </c>
      <c r="F22" s="88">
        <v>3568</v>
      </c>
      <c r="G22" s="88">
        <v>16</v>
      </c>
      <c r="H22" s="88">
        <v>16836115</v>
      </c>
      <c r="I22" s="88">
        <v>3205269</v>
      </c>
      <c r="J22" s="88">
        <v>15</v>
      </c>
      <c r="K22" s="88">
        <v>267</v>
      </c>
      <c r="L22" s="88">
        <v>1820</v>
      </c>
      <c r="M22" s="88">
        <v>8</v>
      </c>
      <c r="N22" s="88">
        <v>48</v>
      </c>
      <c r="O22" s="88">
        <v>2</v>
      </c>
      <c r="P22" s="88">
        <v>10</v>
      </c>
      <c r="Q22" s="88">
        <v>17</v>
      </c>
      <c r="R22" s="88">
        <v>516</v>
      </c>
      <c r="S22" s="88">
        <v>11</v>
      </c>
      <c r="T22" s="88">
        <v>0</v>
      </c>
      <c r="U22" s="88">
        <v>0</v>
      </c>
      <c r="V22" s="88">
        <v>111196</v>
      </c>
      <c r="W22" s="88">
        <v>13549</v>
      </c>
    </row>
    <row r="23" spans="1:25" ht="20.25" customHeight="1">
      <c r="A23" s="562" t="s">
        <v>660</v>
      </c>
      <c r="B23" s="87">
        <v>35</v>
      </c>
      <c r="C23" s="88">
        <v>57814</v>
      </c>
      <c r="D23" s="88">
        <v>159941</v>
      </c>
      <c r="E23" s="88">
        <v>696</v>
      </c>
      <c r="F23" s="88">
        <v>9487</v>
      </c>
      <c r="G23" s="88">
        <v>29</v>
      </c>
      <c r="H23" s="88">
        <v>27756910</v>
      </c>
      <c r="I23" s="88">
        <v>15946387</v>
      </c>
      <c r="J23" s="88">
        <v>25</v>
      </c>
      <c r="K23" s="88">
        <v>1317</v>
      </c>
      <c r="L23" s="88">
        <v>6268</v>
      </c>
      <c r="M23" s="88">
        <v>0</v>
      </c>
      <c r="N23" s="88">
        <v>60</v>
      </c>
      <c r="O23" s="88">
        <v>22</v>
      </c>
      <c r="P23" s="88">
        <v>120</v>
      </c>
      <c r="Q23" s="88">
        <v>43</v>
      </c>
      <c r="R23" s="88">
        <v>2141</v>
      </c>
      <c r="S23" s="88">
        <v>18</v>
      </c>
      <c r="T23" s="88">
        <v>4</v>
      </c>
      <c r="U23" s="88">
        <v>13</v>
      </c>
      <c r="V23" s="88">
        <v>75900</v>
      </c>
      <c r="W23" s="88">
        <v>48253</v>
      </c>
    </row>
    <row r="24" spans="1:25" ht="20.25" customHeight="1">
      <c r="A24" s="562" t="s">
        <v>661</v>
      </c>
      <c r="B24" s="87">
        <v>18</v>
      </c>
      <c r="C24" s="88">
        <v>33556</v>
      </c>
      <c r="D24" s="88">
        <v>90638</v>
      </c>
      <c r="E24" s="88">
        <v>321</v>
      </c>
      <c r="F24" s="88">
        <v>3142</v>
      </c>
      <c r="G24" s="88">
        <v>18</v>
      </c>
      <c r="H24" s="88">
        <v>27795075</v>
      </c>
      <c r="I24" s="88">
        <v>12012972</v>
      </c>
      <c r="J24" s="88">
        <v>19</v>
      </c>
      <c r="K24" s="88">
        <v>348</v>
      </c>
      <c r="L24" s="88">
        <v>1907</v>
      </c>
      <c r="M24" s="88">
        <v>5</v>
      </c>
      <c r="N24" s="88">
        <v>46</v>
      </c>
      <c r="O24" s="88">
        <v>6</v>
      </c>
      <c r="P24" s="88">
        <v>15</v>
      </c>
      <c r="Q24" s="88">
        <v>15</v>
      </c>
      <c r="R24" s="88">
        <v>904</v>
      </c>
      <c r="S24" s="88">
        <v>16</v>
      </c>
      <c r="T24" s="88">
        <v>2</v>
      </c>
      <c r="U24" s="88">
        <v>14</v>
      </c>
      <c r="V24" s="88">
        <v>76360</v>
      </c>
      <c r="W24" s="88">
        <v>127120</v>
      </c>
    </row>
    <row r="25" spans="1:25" ht="20.25" customHeight="1">
      <c r="A25" s="562" t="s">
        <v>662</v>
      </c>
      <c r="B25" s="87">
        <v>31</v>
      </c>
      <c r="C25" s="88">
        <v>62556</v>
      </c>
      <c r="D25" s="88">
        <v>160324</v>
      </c>
      <c r="E25" s="88">
        <v>481</v>
      </c>
      <c r="F25" s="88">
        <v>4850</v>
      </c>
      <c r="G25" s="88">
        <v>26</v>
      </c>
      <c r="H25" s="88">
        <v>6719575</v>
      </c>
      <c r="I25" s="88">
        <v>4878451</v>
      </c>
      <c r="J25" s="88">
        <v>17</v>
      </c>
      <c r="K25" s="88">
        <v>81</v>
      </c>
      <c r="L25" s="88">
        <v>2485</v>
      </c>
      <c r="M25" s="88">
        <v>1</v>
      </c>
      <c r="N25" s="88">
        <v>125</v>
      </c>
      <c r="O25" s="88">
        <v>0</v>
      </c>
      <c r="P25" s="88">
        <v>7</v>
      </c>
      <c r="Q25" s="88">
        <v>17</v>
      </c>
      <c r="R25" s="88">
        <v>692</v>
      </c>
      <c r="S25" s="88">
        <v>9</v>
      </c>
      <c r="T25" s="88">
        <v>1</v>
      </c>
      <c r="U25" s="88">
        <v>0</v>
      </c>
      <c r="V25" s="88">
        <v>98739</v>
      </c>
      <c r="W25" s="88">
        <v>10198</v>
      </c>
    </row>
    <row r="26" spans="1:25" ht="20.25" customHeight="1">
      <c r="A26" s="562" t="s">
        <v>663</v>
      </c>
      <c r="B26" s="87">
        <v>22</v>
      </c>
      <c r="C26" s="88">
        <v>72167</v>
      </c>
      <c r="D26" s="88">
        <v>202392</v>
      </c>
      <c r="E26" s="88">
        <v>402</v>
      </c>
      <c r="F26" s="88">
        <v>4368</v>
      </c>
      <c r="G26" s="88">
        <v>15</v>
      </c>
      <c r="H26" s="88">
        <v>11653823</v>
      </c>
      <c r="I26" s="88">
        <v>6193559</v>
      </c>
      <c r="J26" s="88">
        <v>11</v>
      </c>
      <c r="K26" s="88">
        <v>1006</v>
      </c>
      <c r="L26" s="88">
        <v>2339</v>
      </c>
      <c r="M26" s="88">
        <v>1</v>
      </c>
      <c r="N26" s="88">
        <v>23</v>
      </c>
      <c r="O26" s="88">
        <v>3</v>
      </c>
      <c r="P26" s="88">
        <v>14</v>
      </c>
      <c r="Q26" s="88">
        <v>18</v>
      </c>
      <c r="R26" s="88">
        <v>978</v>
      </c>
      <c r="S26" s="88">
        <v>14</v>
      </c>
      <c r="T26" s="88">
        <v>5</v>
      </c>
      <c r="U26" s="88">
        <v>4</v>
      </c>
      <c r="V26" s="88">
        <v>60199</v>
      </c>
      <c r="W26" s="88">
        <v>21548</v>
      </c>
    </row>
    <row r="27" spans="1:25" ht="20.25" customHeight="1">
      <c r="A27" s="562" t="s">
        <v>664</v>
      </c>
      <c r="B27" s="87">
        <v>16</v>
      </c>
      <c r="C27" s="88">
        <v>40676</v>
      </c>
      <c r="D27" s="88">
        <v>119781</v>
      </c>
      <c r="E27" s="88">
        <v>293</v>
      </c>
      <c r="F27" s="88">
        <v>3237</v>
      </c>
      <c r="G27" s="88">
        <v>19</v>
      </c>
      <c r="H27" s="88">
        <v>28447114</v>
      </c>
      <c r="I27" s="88">
        <v>3126659</v>
      </c>
      <c r="J27" s="88">
        <v>13</v>
      </c>
      <c r="K27" s="88">
        <v>986</v>
      </c>
      <c r="L27" s="88">
        <v>1916</v>
      </c>
      <c r="M27" s="88">
        <v>1</v>
      </c>
      <c r="N27" s="88">
        <v>25</v>
      </c>
      <c r="O27" s="88">
        <v>4</v>
      </c>
      <c r="P27" s="88">
        <v>23</v>
      </c>
      <c r="Q27" s="88">
        <v>30</v>
      </c>
      <c r="R27" s="88">
        <v>747</v>
      </c>
      <c r="S27" s="88">
        <v>16</v>
      </c>
      <c r="T27" s="88">
        <v>2</v>
      </c>
      <c r="U27" s="88">
        <v>40</v>
      </c>
      <c r="V27" s="88">
        <v>158244</v>
      </c>
      <c r="W27" s="88">
        <v>35870</v>
      </c>
    </row>
    <row r="28" spans="1:25" ht="20.25" customHeight="1">
      <c r="A28" s="562" t="s">
        <v>665</v>
      </c>
      <c r="B28" s="87">
        <v>16</v>
      </c>
      <c r="C28" s="88">
        <v>71065</v>
      </c>
      <c r="D28" s="88">
        <v>201605</v>
      </c>
      <c r="E28" s="88">
        <v>284</v>
      </c>
      <c r="F28" s="88">
        <v>2675</v>
      </c>
      <c r="G28" s="88">
        <v>17</v>
      </c>
      <c r="H28" s="88">
        <v>11890499</v>
      </c>
      <c r="I28" s="88">
        <v>4864473</v>
      </c>
      <c r="J28" s="88">
        <v>10</v>
      </c>
      <c r="K28" s="88">
        <v>918</v>
      </c>
      <c r="L28" s="88">
        <v>1480</v>
      </c>
      <c r="M28" s="88">
        <v>4</v>
      </c>
      <c r="N28" s="88">
        <v>68</v>
      </c>
      <c r="O28" s="88">
        <v>3</v>
      </c>
      <c r="P28" s="88">
        <v>8</v>
      </c>
      <c r="Q28" s="88">
        <v>15</v>
      </c>
      <c r="R28" s="88">
        <v>837</v>
      </c>
      <c r="S28" s="88">
        <v>11</v>
      </c>
      <c r="T28" s="88">
        <v>4</v>
      </c>
      <c r="U28" s="88">
        <v>2</v>
      </c>
      <c r="V28" s="88">
        <v>72610</v>
      </c>
      <c r="W28" s="88">
        <v>36126</v>
      </c>
    </row>
    <row r="29" spans="1:25" ht="20.25" customHeight="1">
      <c r="A29" s="562" t="s">
        <v>666</v>
      </c>
      <c r="B29" s="87">
        <v>23</v>
      </c>
      <c r="C29" s="88">
        <v>16540</v>
      </c>
      <c r="D29" s="88">
        <v>49187</v>
      </c>
      <c r="E29" s="88">
        <v>437</v>
      </c>
      <c r="F29" s="88">
        <v>4541</v>
      </c>
      <c r="G29" s="88">
        <v>42</v>
      </c>
      <c r="H29" s="88">
        <v>6918200</v>
      </c>
      <c r="I29" s="88">
        <v>1086905</v>
      </c>
      <c r="J29" s="88">
        <v>23</v>
      </c>
      <c r="K29" s="88">
        <v>146</v>
      </c>
      <c r="L29" s="88">
        <v>1845</v>
      </c>
      <c r="M29" s="88">
        <v>0</v>
      </c>
      <c r="N29" s="88">
        <v>41</v>
      </c>
      <c r="O29" s="88">
        <v>0</v>
      </c>
      <c r="P29" s="88">
        <v>17</v>
      </c>
      <c r="Q29" s="88">
        <v>24</v>
      </c>
      <c r="R29" s="88">
        <v>860</v>
      </c>
      <c r="S29" s="88">
        <v>15</v>
      </c>
      <c r="T29" s="88">
        <v>3</v>
      </c>
      <c r="U29" s="88">
        <v>1</v>
      </c>
      <c r="V29" s="88">
        <v>31785</v>
      </c>
      <c r="W29" s="88">
        <v>103</v>
      </c>
    </row>
    <row r="30" spans="1:25" ht="20.25" customHeight="1">
      <c r="A30" s="562" t="s">
        <v>667</v>
      </c>
      <c r="B30" s="87">
        <v>24</v>
      </c>
      <c r="C30" s="88">
        <v>21903</v>
      </c>
      <c r="D30" s="88">
        <v>63378</v>
      </c>
      <c r="E30" s="88">
        <v>417</v>
      </c>
      <c r="F30" s="88">
        <v>4688</v>
      </c>
      <c r="G30" s="88">
        <v>23</v>
      </c>
      <c r="H30" s="88">
        <v>14360829</v>
      </c>
      <c r="I30" s="88">
        <v>6366902</v>
      </c>
      <c r="J30" s="88">
        <v>25</v>
      </c>
      <c r="K30" s="88">
        <v>231</v>
      </c>
      <c r="L30" s="88">
        <v>2811</v>
      </c>
      <c r="M30" s="88">
        <v>0</v>
      </c>
      <c r="N30" s="88">
        <v>12</v>
      </c>
      <c r="O30" s="88">
        <v>4</v>
      </c>
      <c r="P30" s="88">
        <v>11</v>
      </c>
      <c r="Q30" s="88">
        <v>22</v>
      </c>
      <c r="R30" s="88">
        <v>769</v>
      </c>
      <c r="S30" s="88">
        <v>13</v>
      </c>
      <c r="T30" s="88">
        <v>0</v>
      </c>
      <c r="U30" s="88">
        <v>5</v>
      </c>
      <c r="V30" s="88">
        <v>49643</v>
      </c>
      <c r="W30" s="88">
        <v>17293</v>
      </c>
    </row>
    <row r="31" spans="1:25" ht="20.25" customHeight="1" thickBot="1">
      <c r="A31" s="413" t="s">
        <v>668</v>
      </c>
      <c r="B31" s="414">
        <v>10</v>
      </c>
      <c r="C31" s="415">
        <v>3834</v>
      </c>
      <c r="D31" s="415">
        <v>12026</v>
      </c>
      <c r="E31" s="415">
        <v>137</v>
      </c>
      <c r="F31" s="415">
        <v>707</v>
      </c>
      <c r="G31" s="415">
        <v>9</v>
      </c>
      <c r="H31" s="415">
        <v>795000</v>
      </c>
      <c r="I31" s="415">
        <v>62325</v>
      </c>
      <c r="J31" s="415">
        <v>8</v>
      </c>
      <c r="K31" s="415">
        <v>133</v>
      </c>
      <c r="L31" s="415">
        <v>391</v>
      </c>
      <c r="M31" s="415">
        <v>0</v>
      </c>
      <c r="N31" s="415">
        <v>0</v>
      </c>
      <c r="O31" s="415">
        <v>2</v>
      </c>
      <c r="P31" s="415">
        <v>0</v>
      </c>
      <c r="Q31" s="415">
        <v>4</v>
      </c>
      <c r="R31" s="415">
        <v>93</v>
      </c>
      <c r="S31" s="415">
        <v>2</v>
      </c>
      <c r="T31" s="415">
        <v>0</v>
      </c>
      <c r="U31" s="415">
        <v>0</v>
      </c>
      <c r="V31" s="415">
        <v>2679</v>
      </c>
      <c r="W31" s="415">
        <v>212</v>
      </c>
    </row>
    <row r="32" spans="1:25" s="550" customFormat="1" ht="15" customHeight="1">
      <c r="A32" s="102" t="s">
        <v>937</v>
      </c>
      <c r="B32" s="141"/>
      <c r="C32" s="141"/>
      <c r="D32" s="141"/>
      <c r="E32" s="141"/>
      <c r="F32" s="141"/>
      <c r="G32" s="141"/>
      <c r="I32" s="141"/>
      <c r="K32" s="541" t="s">
        <v>142</v>
      </c>
    </row>
    <row r="33" spans="1:11" s="550" customFormat="1">
      <c r="A33" s="102" t="s">
        <v>1223</v>
      </c>
      <c r="K33" s="541" t="s">
        <v>1213</v>
      </c>
    </row>
    <row r="34" spans="1:11" s="550" customFormat="1">
      <c r="A34" s="102" t="s">
        <v>1368</v>
      </c>
      <c r="K34" s="541" t="s">
        <v>1222</v>
      </c>
    </row>
    <row r="35" spans="1:11" s="550" customFormat="1">
      <c r="K35" s="541" t="s">
        <v>1369</v>
      </c>
    </row>
    <row r="36" spans="1:11" s="550" customFormat="1"/>
    <row r="37" spans="1:11" s="550" customFormat="1"/>
    <row r="38" spans="1:11" s="550" customFormat="1"/>
    <row r="39" spans="1:11" s="550" customFormat="1"/>
  </sheetData>
  <mergeCells count="27">
    <mergeCell ref="F7:F8"/>
    <mergeCell ref="A7:A8"/>
    <mergeCell ref="B7:B8"/>
    <mergeCell ref="C7:C8"/>
    <mergeCell ref="D7:D8"/>
    <mergeCell ref="E7:E8"/>
    <mergeCell ref="V6:W6"/>
    <mergeCell ref="G7:G8"/>
    <mergeCell ref="H7:H8"/>
    <mergeCell ref="I7:I8"/>
    <mergeCell ref="J7:J8"/>
    <mergeCell ref="V1:W1"/>
    <mergeCell ref="A2:J2"/>
    <mergeCell ref="K2:W2"/>
    <mergeCell ref="A4:A6"/>
    <mergeCell ref="B4:B5"/>
    <mergeCell ref="C4:C5"/>
    <mergeCell ref="D4:D5"/>
    <mergeCell ref="E4:E5"/>
    <mergeCell ref="F4:F5"/>
    <mergeCell ref="G4:G5"/>
    <mergeCell ref="H4:I4"/>
    <mergeCell ref="J4:J5"/>
    <mergeCell ref="K4:W4"/>
    <mergeCell ref="H5:I5"/>
    <mergeCell ref="K5:W5"/>
    <mergeCell ref="Q6:R6"/>
  </mergeCells>
  <phoneticPr fontId="6" type="noConversion"/>
  <conditionalFormatting sqref="A33">
    <cfRule type="cellIs" dxfId="0" priority="1" stopIfTrue="1" operator="equal">
      <formula>XEE33</formula>
    </cfRule>
  </conditionalFormatting>
  <printOptions horizontalCentered="1"/>
  <pageMargins left="0.6692913385826772" right="0.6692913385826772" top="0.6692913385826772" bottom="0.6692913385826772" header="0.27559055118110237" footer="0.27559055118110237"/>
  <pageSetup paperSize="9" firstPageNumber="352" orientation="portrait" useFirstPageNumber="1"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工作表8"/>
  <dimension ref="A1:Y48"/>
  <sheetViews>
    <sheetView showGridLines="0" view="pageBreakPreview" zoomScale="90" zoomScaleNormal="120" zoomScaleSheetLayoutView="90" workbookViewId="0">
      <pane xSplit="1" ySplit="8" topLeftCell="B18" activePane="bottomRight" state="frozen"/>
      <selection activeCell="H28" sqref="H28"/>
      <selection pane="topRight" activeCell="H28" sqref="H28"/>
      <selection pane="bottomLeft" activeCell="H28" sqref="H28"/>
      <selection pane="bottomRight" activeCell="U31" sqref="U31"/>
    </sheetView>
  </sheetViews>
  <sheetFormatPr defaultRowHeight="12.75"/>
  <cols>
    <col min="1" max="1" width="19.625" style="550" customWidth="1"/>
    <col min="2" max="9" width="8.125" style="31" customWidth="1"/>
    <col min="10" max="15" width="7.125" style="31" customWidth="1"/>
    <col min="16" max="17" width="7.125" style="46" customWidth="1"/>
    <col min="18" max="21" width="7.125" style="31" customWidth="1"/>
    <col min="22" max="28" width="0" style="31" hidden="1" customWidth="1"/>
    <col min="29" max="16384" width="9" style="31"/>
  </cols>
  <sheetData>
    <row r="1" spans="1:25" s="550" customFormat="1" ht="18" customHeight="1">
      <c r="A1" s="121" t="s">
        <v>934</v>
      </c>
      <c r="B1" s="102"/>
      <c r="C1" s="102"/>
      <c r="D1" s="102"/>
      <c r="P1" s="530"/>
      <c r="Q1" s="530"/>
      <c r="U1" s="543" t="s">
        <v>47</v>
      </c>
    </row>
    <row r="2" spans="1:25" s="550" customFormat="1" ht="24.95" customHeight="1">
      <c r="A2" s="643" t="s">
        <v>1023</v>
      </c>
      <c r="B2" s="643"/>
      <c r="C2" s="643"/>
      <c r="D2" s="643"/>
      <c r="E2" s="643"/>
      <c r="F2" s="643"/>
      <c r="G2" s="643"/>
      <c r="H2" s="643"/>
      <c r="I2" s="704"/>
      <c r="J2" s="643" t="s">
        <v>143</v>
      </c>
      <c r="K2" s="643"/>
      <c r="L2" s="643"/>
      <c r="M2" s="643"/>
      <c r="N2" s="643"/>
      <c r="O2" s="643"/>
      <c r="P2" s="643"/>
      <c r="Q2" s="643"/>
      <c r="R2" s="643"/>
      <c r="S2" s="643"/>
      <c r="T2" s="643"/>
      <c r="U2" s="643"/>
    </row>
    <row r="3" spans="1:25" s="550" customFormat="1" ht="15" customHeight="1" thickBot="1">
      <c r="A3" s="530"/>
      <c r="B3" s="530"/>
      <c r="C3" s="530"/>
      <c r="D3" s="530"/>
      <c r="E3" s="530"/>
      <c r="F3" s="530"/>
      <c r="G3" s="530"/>
      <c r="H3" s="530"/>
      <c r="I3" s="260" t="s">
        <v>940</v>
      </c>
      <c r="J3" s="530"/>
      <c r="K3" s="530"/>
      <c r="L3" s="530"/>
      <c r="M3" s="530"/>
      <c r="N3" s="541"/>
      <c r="O3" s="541"/>
      <c r="Q3" s="260"/>
      <c r="T3" s="530"/>
      <c r="U3" s="260" t="s">
        <v>144</v>
      </c>
    </row>
    <row r="4" spans="1:25" s="550" customFormat="1" ht="21.95" customHeight="1">
      <c r="A4" s="681" t="s">
        <v>652</v>
      </c>
      <c r="B4" s="705" t="s">
        <v>519</v>
      </c>
      <c r="C4" s="706"/>
      <c r="D4" s="706"/>
      <c r="E4" s="709" t="s">
        <v>669</v>
      </c>
      <c r="F4" s="706"/>
      <c r="G4" s="706"/>
      <c r="H4" s="706"/>
      <c r="I4" s="706"/>
      <c r="J4" s="706" t="s">
        <v>145</v>
      </c>
      <c r="K4" s="706"/>
      <c r="L4" s="706"/>
      <c r="M4" s="706"/>
      <c r="N4" s="706"/>
      <c r="O4" s="706"/>
      <c r="P4" s="706"/>
      <c r="Q4" s="706"/>
      <c r="R4" s="706"/>
      <c r="S4" s="706"/>
      <c r="T4" s="706"/>
      <c r="U4" s="706"/>
    </row>
    <row r="5" spans="1:25" s="550" customFormat="1" ht="30" customHeight="1">
      <c r="A5" s="682"/>
      <c r="B5" s="707"/>
      <c r="C5" s="708"/>
      <c r="D5" s="708"/>
      <c r="E5" s="658" t="s">
        <v>440</v>
      </c>
      <c r="F5" s="658"/>
      <c r="G5" s="658"/>
      <c r="H5" s="658" t="s">
        <v>674</v>
      </c>
      <c r="I5" s="658"/>
      <c r="J5" s="661" t="s">
        <v>675</v>
      </c>
      <c r="K5" s="658"/>
      <c r="L5" s="658" t="s">
        <v>676</v>
      </c>
      <c r="M5" s="658"/>
      <c r="N5" s="658" t="s">
        <v>677</v>
      </c>
      <c r="O5" s="658"/>
      <c r="P5" s="658" t="s">
        <v>678</v>
      </c>
      <c r="Q5" s="658"/>
      <c r="R5" s="658" t="s">
        <v>679</v>
      </c>
      <c r="S5" s="658"/>
      <c r="T5" s="658" t="s">
        <v>680</v>
      </c>
      <c r="U5" s="658"/>
      <c r="X5" s="280"/>
      <c r="Y5" s="281" t="s">
        <v>1373</v>
      </c>
    </row>
    <row r="6" spans="1:25" s="550" customFormat="1" ht="30" customHeight="1">
      <c r="A6" s="682" t="s">
        <v>146</v>
      </c>
      <c r="B6" s="710" t="s">
        <v>147</v>
      </c>
      <c r="C6" s="711"/>
      <c r="D6" s="712"/>
      <c r="E6" s="713" t="s">
        <v>148</v>
      </c>
      <c r="F6" s="713"/>
      <c r="G6" s="713"/>
      <c r="H6" s="713" t="s">
        <v>149</v>
      </c>
      <c r="I6" s="714"/>
      <c r="J6" s="711" t="s">
        <v>150</v>
      </c>
      <c r="K6" s="669"/>
      <c r="L6" s="715" t="s">
        <v>151</v>
      </c>
      <c r="M6" s="669"/>
      <c r="N6" s="715" t="s">
        <v>152</v>
      </c>
      <c r="O6" s="669"/>
      <c r="P6" s="715" t="s">
        <v>153</v>
      </c>
      <c r="Q6" s="669"/>
      <c r="R6" s="715" t="s">
        <v>154</v>
      </c>
      <c r="S6" s="669"/>
      <c r="T6" s="715" t="s">
        <v>155</v>
      </c>
      <c r="U6" s="669"/>
    </row>
    <row r="7" spans="1:25" s="550" customFormat="1" ht="17.100000000000001" customHeight="1">
      <c r="A7" s="682"/>
      <c r="B7" s="532" t="s">
        <v>440</v>
      </c>
      <c r="C7" s="535" t="s">
        <v>464</v>
      </c>
      <c r="D7" s="535" t="s">
        <v>465</v>
      </c>
      <c r="E7" s="535" t="s">
        <v>459</v>
      </c>
      <c r="F7" s="535" t="s">
        <v>464</v>
      </c>
      <c r="G7" s="535" t="s">
        <v>465</v>
      </c>
      <c r="H7" s="535" t="s">
        <v>464</v>
      </c>
      <c r="I7" s="535" t="s">
        <v>465</v>
      </c>
      <c r="J7" s="537" t="s">
        <v>464</v>
      </c>
      <c r="K7" s="535" t="s">
        <v>465</v>
      </c>
      <c r="L7" s="535" t="s">
        <v>464</v>
      </c>
      <c r="M7" s="535" t="s">
        <v>465</v>
      </c>
      <c r="N7" s="535" t="s">
        <v>464</v>
      </c>
      <c r="O7" s="535" t="s">
        <v>465</v>
      </c>
      <c r="P7" s="535" t="s">
        <v>464</v>
      </c>
      <c r="Q7" s="535" t="s">
        <v>465</v>
      </c>
      <c r="R7" s="535" t="s">
        <v>464</v>
      </c>
      <c r="S7" s="535" t="s">
        <v>465</v>
      </c>
      <c r="T7" s="535" t="s">
        <v>464</v>
      </c>
      <c r="U7" s="535" t="s">
        <v>465</v>
      </c>
    </row>
    <row r="8" spans="1:25" s="544" customFormat="1" ht="17.100000000000001" customHeight="1" thickBot="1">
      <c r="A8" s="701"/>
      <c r="B8" s="533" t="s">
        <v>148</v>
      </c>
      <c r="C8" s="536" t="s">
        <v>156</v>
      </c>
      <c r="D8" s="536" t="s">
        <v>157</v>
      </c>
      <c r="E8" s="536" t="s">
        <v>297</v>
      </c>
      <c r="F8" s="536" t="s">
        <v>158</v>
      </c>
      <c r="G8" s="536" t="s">
        <v>159</v>
      </c>
      <c r="H8" s="536" t="s">
        <v>158</v>
      </c>
      <c r="I8" s="536" t="s">
        <v>159</v>
      </c>
      <c r="J8" s="538" t="s">
        <v>158</v>
      </c>
      <c r="K8" s="536" t="s">
        <v>159</v>
      </c>
      <c r="L8" s="536" t="s">
        <v>158</v>
      </c>
      <c r="M8" s="536" t="s">
        <v>159</v>
      </c>
      <c r="N8" s="536" t="s">
        <v>158</v>
      </c>
      <c r="O8" s="536" t="s">
        <v>159</v>
      </c>
      <c r="P8" s="536" t="s">
        <v>158</v>
      </c>
      <c r="Q8" s="536" t="s">
        <v>159</v>
      </c>
      <c r="R8" s="536" t="s">
        <v>158</v>
      </c>
      <c r="S8" s="536" t="s">
        <v>159</v>
      </c>
      <c r="T8" s="536" t="s">
        <v>158</v>
      </c>
      <c r="U8" s="536" t="s">
        <v>159</v>
      </c>
    </row>
    <row r="9" spans="1:25" ht="24.6" customHeight="1">
      <c r="A9" s="174" t="s">
        <v>507</v>
      </c>
      <c r="B9" s="245">
        <v>70374</v>
      </c>
      <c r="C9" s="246">
        <v>41598</v>
      </c>
      <c r="D9" s="246">
        <v>28776</v>
      </c>
      <c r="E9" s="246">
        <v>70374</v>
      </c>
      <c r="F9" s="246">
        <v>41598</v>
      </c>
      <c r="G9" s="246">
        <v>28776</v>
      </c>
      <c r="H9" s="246">
        <v>1726</v>
      </c>
      <c r="I9" s="246">
        <v>1405</v>
      </c>
      <c r="J9" s="246">
        <v>5380</v>
      </c>
      <c r="K9" s="246">
        <v>3340</v>
      </c>
      <c r="L9" s="246">
        <v>79</v>
      </c>
      <c r="M9" s="246">
        <v>50</v>
      </c>
      <c r="N9" s="246">
        <v>639</v>
      </c>
      <c r="O9" s="246">
        <v>296</v>
      </c>
      <c r="P9" s="246">
        <v>15907</v>
      </c>
      <c r="Q9" s="246">
        <v>9144</v>
      </c>
      <c r="R9" s="246">
        <v>3939</v>
      </c>
      <c r="S9" s="246">
        <v>3122</v>
      </c>
      <c r="T9" s="246">
        <v>3988</v>
      </c>
      <c r="U9" s="246">
        <v>3486</v>
      </c>
    </row>
    <row r="10" spans="1:25" ht="24.6" customHeight="1">
      <c r="A10" s="174" t="s">
        <v>1374</v>
      </c>
      <c r="B10" s="245">
        <v>73071</v>
      </c>
      <c r="C10" s="246">
        <v>43075</v>
      </c>
      <c r="D10" s="246">
        <v>29996</v>
      </c>
      <c r="E10" s="246">
        <v>73071</v>
      </c>
      <c r="F10" s="246">
        <v>43075</v>
      </c>
      <c r="G10" s="246">
        <v>29996</v>
      </c>
      <c r="H10" s="246">
        <v>1757</v>
      </c>
      <c r="I10" s="246">
        <v>1450</v>
      </c>
      <c r="J10" s="246">
        <v>5568</v>
      </c>
      <c r="K10" s="246">
        <v>3468</v>
      </c>
      <c r="L10" s="246">
        <v>94</v>
      </c>
      <c r="M10" s="246">
        <v>55</v>
      </c>
      <c r="N10" s="246">
        <v>677</v>
      </c>
      <c r="O10" s="246">
        <v>315</v>
      </c>
      <c r="P10" s="246">
        <v>16031</v>
      </c>
      <c r="Q10" s="246">
        <v>9339</v>
      </c>
      <c r="R10" s="246">
        <v>4070</v>
      </c>
      <c r="S10" s="246">
        <v>3255</v>
      </c>
      <c r="T10" s="246">
        <v>4286</v>
      </c>
      <c r="U10" s="246">
        <v>3668</v>
      </c>
    </row>
    <row r="11" spans="1:25" ht="24.6" customHeight="1">
      <c r="A11" s="174" t="s">
        <v>1375</v>
      </c>
      <c r="B11" s="245">
        <v>76070</v>
      </c>
      <c r="C11" s="246">
        <v>44665</v>
      </c>
      <c r="D11" s="246">
        <v>31405</v>
      </c>
      <c r="E11" s="246">
        <v>76070</v>
      </c>
      <c r="F11" s="246">
        <v>44665</v>
      </c>
      <c r="G11" s="246">
        <v>31405</v>
      </c>
      <c r="H11" s="246">
        <v>1812</v>
      </c>
      <c r="I11" s="246">
        <v>1529</v>
      </c>
      <c r="J11" s="246">
        <v>5694</v>
      </c>
      <c r="K11" s="246">
        <v>3630</v>
      </c>
      <c r="L11" s="246">
        <v>98</v>
      </c>
      <c r="M11" s="246">
        <v>65</v>
      </c>
      <c r="N11" s="246">
        <v>716</v>
      </c>
      <c r="O11" s="246">
        <v>326</v>
      </c>
      <c r="P11" s="246">
        <v>16291</v>
      </c>
      <c r="Q11" s="246">
        <v>9614</v>
      </c>
      <c r="R11" s="246">
        <v>4228</v>
      </c>
      <c r="S11" s="246">
        <v>3371</v>
      </c>
      <c r="T11" s="246">
        <v>4626</v>
      </c>
      <c r="U11" s="246">
        <v>3874</v>
      </c>
    </row>
    <row r="12" spans="1:25" ht="24.6" customHeight="1">
      <c r="A12" s="174" t="s">
        <v>1376</v>
      </c>
      <c r="B12" s="245">
        <v>74409</v>
      </c>
      <c r="C12" s="246">
        <v>43356</v>
      </c>
      <c r="D12" s="246">
        <v>31053</v>
      </c>
      <c r="E12" s="246">
        <v>74409</v>
      </c>
      <c r="F12" s="246">
        <v>43356</v>
      </c>
      <c r="G12" s="246">
        <v>31053</v>
      </c>
      <c r="H12" s="246">
        <v>1680</v>
      </c>
      <c r="I12" s="246">
        <v>1455</v>
      </c>
      <c r="J12" s="246">
        <v>5603</v>
      </c>
      <c r="K12" s="246">
        <v>3711</v>
      </c>
      <c r="L12" s="246">
        <v>109</v>
      </c>
      <c r="M12" s="246">
        <v>55</v>
      </c>
      <c r="N12" s="246">
        <v>663</v>
      </c>
      <c r="O12" s="246">
        <v>312</v>
      </c>
      <c r="P12" s="246">
        <v>15213</v>
      </c>
      <c r="Q12" s="246">
        <v>9128</v>
      </c>
      <c r="R12" s="246">
        <v>4199</v>
      </c>
      <c r="S12" s="246">
        <v>3379</v>
      </c>
      <c r="T12" s="246">
        <v>4707</v>
      </c>
      <c r="U12" s="246">
        <v>3869</v>
      </c>
    </row>
    <row r="13" spans="1:25" ht="24.6" customHeight="1">
      <c r="A13" s="174" t="s">
        <v>1251</v>
      </c>
      <c r="B13" s="245">
        <v>76175</v>
      </c>
      <c r="C13" s="246">
        <v>44178</v>
      </c>
      <c r="D13" s="246">
        <v>31997</v>
      </c>
      <c r="E13" s="246">
        <v>56775</v>
      </c>
      <c r="F13" s="246">
        <v>33061</v>
      </c>
      <c r="G13" s="246">
        <v>23714</v>
      </c>
      <c r="H13" s="246">
        <v>1439</v>
      </c>
      <c r="I13" s="246">
        <v>1232</v>
      </c>
      <c r="J13" s="246">
        <v>4529</v>
      </c>
      <c r="K13" s="246">
        <v>3063</v>
      </c>
      <c r="L13" s="246">
        <v>74</v>
      </c>
      <c r="M13" s="246">
        <v>46</v>
      </c>
      <c r="N13" s="246">
        <v>527</v>
      </c>
      <c r="O13" s="246">
        <v>275</v>
      </c>
      <c r="P13" s="246">
        <v>13007</v>
      </c>
      <c r="Q13" s="246">
        <v>7658</v>
      </c>
      <c r="R13" s="246">
        <v>3385</v>
      </c>
      <c r="S13" s="246">
        <v>2756</v>
      </c>
      <c r="T13" s="246">
        <v>3460</v>
      </c>
      <c r="U13" s="246">
        <v>3201</v>
      </c>
    </row>
    <row r="14" spans="1:25" ht="24.6" customHeight="1">
      <c r="A14" s="174" t="s">
        <v>1377</v>
      </c>
      <c r="B14" s="245">
        <v>79942</v>
      </c>
      <c r="C14" s="246">
        <v>46465</v>
      </c>
      <c r="D14" s="246">
        <v>33477</v>
      </c>
      <c r="E14" s="246">
        <v>53832</v>
      </c>
      <c r="F14" s="246">
        <v>31519</v>
      </c>
      <c r="G14" s="246">
        <v>22313</v>
      </c>
      <c r="H14" s="246">
        <v>1349</v>
      </c>
      <c r="I14" s="246">
        <v>1130</v>
      </c>
      <c r="J14" s="246">
        <v>4241</v>
      </c>
      <c r="K14" s="246">
        <v>2843</v>
      </c>
      <c r="L14" s="246">
        <v>63</v>
      </c>
      <c r="M14" s="246">
        <v>36</v>
      </c>
      <c r="N14" s="246">
        <v>468</v>
      </c>
      <c r="O14" s="246">
        <v>243</v>
      </c>
      <c r="P14" s="246">
        <v>12701</v>
      </c>
      <c r="Q14" s="246">
        <v>7423</v>
      </c>
      <c r="R14" s="246">
        <v>3151</v>
      </c>
      <c r="S14" s="246">
        <v>2546</v>
      </c>
      <c r="T14" s="246">
        <v>3417</v>
      </c>
      <c r="U14" s="246">
        <v>3143</v>
      </c>
    </row>
    <row r="15" spans="1:25" ht="24.6" customHeight="1">
      <c r="A15" s="282" t="s">
        <v>1253</v>
      </c>
      <c r="B15" s="245">
        <v>79062</v>
      </c>
      <c r="C15" s="246">
        <v>45870</v>
      </c>
      <c r="D15" s="246">
        <v>33192</v>
      </c>
      <c r="E15" s="246">
        <v>46516</v>
      </c>
      <c r="F15" s="246">
        <v>27153</v>
      </c>
      <c r="G15" s="246">
        <v>19363</v>
      </c>
      <c r="H15" s="246">
        <v>1157</v>
      </c>
      <c r="I15" s="246">
        <v>1018</v>
      </c>
      <c r="J15" s="246">
        <v>3425</v>
      </c>
      <c r="K15" s="246">
        <v>2360</v>
      </c>
      <c r="L15" s="246">
        <v>46</v>
      </c>
      <c r="M15" s="246">
        <v>31</v>
      </c>
      <c r="N15" s="246">
        <v>382</v>
      </c>
      <c r="O15" s="246">
        <v>201</v>
      </c>
      <c r="P15" s="246">
        <v>11606</v>
      </c>
      <c r="Q15" s="246">
        <v>6761</v>
      </c>
      <c r="R15" s="246">
        <v>2661</v>
      </c>
      <c r="S15" s="246">
        <v>2093</v>
      </c>
      <c r="T15" s="246">
        <v>2911</v>
      </c>
      <c r="U15" s="246">
        <v>2720</v>
      </c>
    </row>
    <row r="16" spans="1:25" ht="24.6" customHeight="1">
      <c r="A16" s="174" t="s">
        <v>1378</v>
      </c>
      <c r="B16" s="245">
        <v>80578</v>
      </c>
      <c r="C16" s="246">
        <v>46655</v>
      </c>
      <c r="D16" s="246">
        <v>33923</v>
      </c>
      <c r="E16" s="246">
        <v>34631</v>
      </c>
      <c r="F16" s="246">
        <v>20169</v>
      </c>
      <c r="G16" s="246">
        <v>14462</v>
      </c>
      <c r="H16" s="246">
        <v>816</v>
      </c>
      <c r="I16" s="246">
        <v>781</v>
      </c>
      <c r="J16" s="246">
        <v>2670</v>
      </c>
      <c r="K16" s="246">
        <v>1807</v>
      </c>
      <c r="L16" s="246">
        <v>36</v>
      </c>
      <c r="M16" s="246">
        <v>23</v>
      </c>
      <c r="N16" s="246">
        <v>272</v>
      </c>
      <c r="O16" s="246">
        <v>130</v>
      </c>
      <c r="P16" s="246">
        <v>10220</v>
      </c>
      <c r="Q16" s="246">
        <v>6048</v>
      </c>
      <c r="R16" s="246">
        <v>829</v>
      </c>
      <c r="S16" s="246">
        <v>729</v>
      </c>
      <c r="T16" s="246">
        <v>2371</v>
      </c>
      <c r="U16" s="246">
        <v>2246</v>
      </c>
    </row>
    <row r="17" spans="1:24" ht="24.6" customHeight="1">
      <c r="A17" s="174" t="s">
        <v>1252</v>
      </c>
      <c r="B17" s="245">
        <v>82049</v>
      </c>
      <c r="C17" s="246">
        <v>47274</v>
      </c>
      <c r="D17" s="246">
        <v>34775</v>
      </c>
      <c r="E17" s="246">
        <v>10329</v>
      </c>
      <c r="F17" s="246">
        <v>6091</v>
      </c>
      <c r="G17" s="246">
        <v>4238</v>
      </c>
      <c r="H17" s="246">
        <v>282</v>
      </c>
      <c r="I17" s="246">
        <v>247</v>
      </c>
      <c r="J17" s="246">
        <v>1241</v>
      </c>
      <c r="K17" s="246">
        <v>636</v>
      </c>
      <c r="L17" s="246">
        <v>15</v>
      </c>
      <c r="M17" s="246">
        <v>8</v>
      </c>
      <c r="N17" s="246">
        <v>84</v>
      </c>
      <c r="O17" s="246">
        <v>34</v>
      </c>
      <c r="P17" s="246">
        <v>2750</v>
      </c>
      <c r="Q17" s="246">
        <v>1700</v>
      </c>
      <c r="R17" s="246">
        <v>387</v>
      </c>
      <c r="S17" s="246">
        <v>332</v>
      </c>
      <c r="T17" s="246">
        <v>534</v>
      </c>
      <c r="U17" s="246">
        <v>485</v>
      </c>
    </row>
    <row r="18" spans="1:24" ht="24.6" customHeight="1">
      <c r="A18" s="174" t="s">
        <v>1233</v>
      </c>
      <c r="B18" s="245">
        <f>C18+D18</f>
        <v>83585</v>
      </c>
      <c r="C18" s="246">
        <f>F18+'11-6 續2完'!C18</f>
        <v>47764</v>
      </c>
      <c r="D18" s="246">
        <f>G18+'11-6 續2完'!D18</f>
        <v>35821</v>
      </c>
      <c r="E18" s="246">
        <f>SUM(F18:G18)</f>
        <v>3120</v>
      </c>
      <c r="F18" s="246">
        <f>SUM(H18,J18,L18,N18,P18,R18,T18,'11-6 續1'!B18,'11-6 續1'!D18,'11-6 續1'!F18,'11-6 續1'!H18,'11-6 續1'!J18,'11-6 續1'!L18,'11-6 續1'!N18,'11-6 續1'!P18,'11-6 續1'!R18)</f>
        <v>1908</v>
      </c>
      <c r="G18" s="246">
        <f>SUM(I18,K18,M18,O18,Q18,S18,U18,'11-6 續1'!C18,'11-6 續1'!E18,'11-6 續1'!G18,'11-6 續1'!I18,'11-6 續1'!K18,'11-6 續1'!M18,'11-6 續1'!O18,'11-6 續1'!Q18,'11-6 續1'!S18)</f>
        <v>1212</v>
      </c>
      <c r="H18" s="246">
        <f>SUM(H19:H31)</f>
        <v>69</v>
      </c>
      <c r="I18" s="246">
        <f t="shared" ref="I18:U18" si="0">SUM(I19:I31)</f>
        <v>52</v>
      </c>
      <c r="J18" s="246">
        <f t="shared" si="0"/>
        <v>239</v>
      </c>
      <c r="K18" s="246">
        <f>SUM(K19:K31)</f>
        <v>170</v>
      </c>
      <c r="L18" s="246">
        <f t="shared" si="0"/>
        <v>3</v>
      </c>
      <c r="M18" s="246">
        <f t="shared" si="0"/>
        <v>1</v>
      </c>
      <c r="N18" s="246">
        <f t="shared" si="0"/>
        <v>38</v>
      </c>
      <c r="O18" s="246">
        <f t="shared" si="0"/>
        <v>16</v>
      </c>
      <c r="P18" s="246">
        <f t="shared" si="0"/>
        <v>935</v>
      </c>
      <c r="Q18" s="246">
        <f t="shared" si="0"/>
        <v>435</v>
      </c>
      <c r="R18" s="246">
        <f t="shared" si="0"/>
        <v>183</v>
      </c>
      <c r="S18" s="246">
        <f t="shared" si="0"/>
        <v>160</v>
      </c>
      <c r="T18" s="246">
        <f t="shared" si="0"/>
        <v>163</v>
      </c>
      <c r="U18" s="246">
        <f t="shared" si="0"/>
        <v>127</v>
      </c>
      <c r="V18" s="275">
        <f>SUM(B19:B31)</f>
        <v>83585</v>
      </c>
      <c r="W18" s="275">
        <f>SUM(C19:C31)</f>
        <v>47764</v>
      </c>
      <c r="X18" s="275">
        <f>SUM(D19:D31)</f>
        <v>35821</v>
      </c>
    </row>
    <row r="19" spans="1:24" ht="24.6" customHeight="1">
      <c r="A19" s="172" t="s">
        <v>656</v>
      </c>
      <c r="B19" s="78">
        <f>C19+D19</f>
        <v>14922</v>
      </c>
      <c r="C19" s="246">
        <f>F19+'11-6 續2完'!C19</f>
        <v>8458</v>
      </c>
      <c r="D19" s="246">
        <f>G19+'11-6 續2完'!D19</f>
        <v>6464</v>
      </c>
      <c r="E19" s="78">
        <f>F19+G19</f>
        <v>556</v>
      </c>
      <c r="F19" s="246">
        <f>SUM(H19,J19,L19,N19,P19,R19,T19,'11-6 續1'!B19,'11-6 續1'!D19,'11-6 續1'!F19,'11-6 續1'!H19,'11-6 續1'!J19,'11-6 續1'!L19,'11-6 續1'!N19,'11-6 續1'!P19,'11-6 續1'!R19)</f>
        <v>337</v>
      </c>
      <c r="G19" s="246">
        <f>SUM(I19,K19,M19,O19,Q19,S19,U19,'11-6 續1'!C19,'11-6 續1'!E19,'11-6 續1'!G19,'11-6 續1'!I19,'11-6 續1'!K19,'11-6 續1'!M19,'11-6 續1'!O19,'11-6 續1'!Q19,'11-6 續1'!S19)</f>
        <v>219</v>
      </c>
      <c r="H19" s="78">
        <v>15</v>
      </c>
      <c r="I19" s="78">
        <v>8</v>
      </c>
      <c r="J19" s="78">
        <v>34</v>
      </c>
      <c r="K19" s="78">
        <v>27</v>
      </c>
      <c r="L19" s="78">
        <v>0</v>
      </c>
      <c r="M19" s="78">
        <v>0</v>
      </c>
      <c r="N19" s="78">
        <v>6</v>
      </c>
      <c r="O19" s="78">
        <v>6</v>
      </c>
      <c r="P19" s="78">
        <v>176</v>
      </c>
      <c r="Q19" s="78">
        <v>82</v>
      </c>
      <c r="R19" s="78">
        <v>27</v>
      </c>
      <c r="S19" s="78">
        <v>25</v>
      </c>
      <c r="T19" s="78">
        <v>29</v>
      </c>
      <c r="U19" s="78">
        <v>25</v>
      </c>
      <c r="V19" s="275">
        <v>1777</v>
      </c>
      <c r="W19" s="31" t="b">
        <f>IF(V19=E19,1)</f>
        <v>0</v>
      </c>
    </row>
    <row r="20" spans="1:24" ht="24.6" customHeight="1">
      <c r="A20" s="172" t="s">
        <v>657</v>
      </c>
      <c r="B20" s="78">
        <f>C20+D20</f>
        <v>14969</v>
      </c>
      <c r="C20" s="246">
        <f>F20+'11-6 續2完'!C20</f>
        <v>8429</v>
      </c>
      <c r="D20" s="246">
        <f>G20+'11-6 續2完'!D20</f>
        <v>6540</v>
      </c>
      <c r="E20" s="78">
        <f t="shared" ref="E20:E31" si="1">F20+G20</f>
        <v>547</v>
      </c>
      <c r="F20" s="246">
        <f>SUM(H20,J20,L20,N20,P20,R20,T20,'11-6 續1'!B20,'11-6 續1'!D20,'11-6 續1'!F20,'11-6 續1'!H20,'11-6 續1'!J20,'11-6 續1'!L20,'11-6 續1'!N20,'11-6 續1'!P20,'11-6 續1'!R20)</f>
        <v>336</v>
      </c>
      <c r="G20" s="246">
        <f>SUM(I20,K20,M20,O20,Q20,S20,U20,'11-6 續1'!C20,'11-6 續1'!E20,'11-6 續1'!G20,'11-6 續1'!I20,'11-6 續1'!K20,'11-6 續1'!M20,'11-6 續1'!O20,'11-6 續1'!Q20,'11-6 續1'!S20)</f>
        <v>211</v>
      </c>
      <c r="H20" s="78">
        <v>11</v>
      </c>
      <c r="I20" s="78">
        <v>8</v>
      </c>
      <c r="J20" s="78">
        <v>49</v>
      </c>
      <c r="K20" s="78">
        <v>32</v>
      </c>
      <c r="L20" s="78">
        <v>0</v>
      </c>
      <c r="M20" s="78">
        <v>0</v>
      </c>
      <c r="N20" s="78">
        <v>7</v>
      </c>
      <c r="O20" s="78">
        <v>3</v>
      </c>
      <c r="P20" s="78">
        <v>172</v>
      </c>
      <c r="Q20" s="78">
        <v>69</v>
      </c>
      <c r="R20" s="78">
        <v>22</v>
      </c>
      <c r="S20" s="78">
        <v>25</v>
      </c>
      <c r="T20" s="78">
        <v>29</v>
      </c>
      <c r="U20" s="78">
        <v>22</v>
      </c>
      <c r="V20" s="275">
        <v>1878</v>
      </c>
      <c r="W20" s="31" t="b">
        <f t="shared" ref="W20:W31" si="2">IF(V20=E20,1)</f>
        <v>0</v>
      </c>
    </row>
    <row r="21" spans="1:24" ht="24.6" customHeight="1">
      <c r="A21" s="172" t="s">
        <v>658</v>
      </c>
      <c r="B21" s="78">
        <f t="shared" ref="B21:B31" si="3">C21+D21</f>
        <v>4523</v>
      </c>
      <c r="C21" s="246">
        <f>F21+'11-6 續2完'!C21</f>
        <v>2581</v>
      </c>
      <c r="D21" s="246">
        <f>G21+'11-6 續2完'!D21</f>
        <v>1942</v>
      </c>
      <c r="E21" s="78">
        <f t="shared" si="1"/>
        <v>184</v>
      </c>
      <c r="F21" s="246">
        <f>SUM(H21,J21,L21,N21,P21,R21,T21,'11-6 續1'!B21,'11-6 續1'!D21,'11-6 續1'!F21,'11-6 續1'!H21,'11-6 續1'!J21,'11-6 續1'!L21,'11-6 續1'!N21,'11-6 續1'!P21,'11-6 續1'!R21)</f>
        <v>117</v>
      </c>
      <c r="G21" s="246">
        <f>SUM(I21,K21,M21,O21,Q21,S21,U21,'11-6 續1'!C21,'11-6 續1'!E21,'11-6 續1'!G21,'11-6 續1'!I21,'11-6 續1'!K21,'11-6 續1'!M21,'11-6 續1'!O21,'11-6 續1'!Q21,'11-6 續1'!S21)</f>
        <v>67</v>
      </c>
      <c r="H21" s="78">
        <v>3</v>
      </c>
      <c r="I21" s="78">
        <v>3</v>
      </c>
      <c r="J21" s="78">
        <v>16</v>
      </c>
      <c r="K21" s="78">
        <v>7</v>
      </c>
      <c r="L21" s="78">
        <v>2</v>
      </c>
      <c r="M21" s="78">
        <v>0</v>
      </c>
      <c r="N21" s="78">
        <v>4</v>
      </c>
      <c r="O21" s="78">
        <v>1</v>
      </c>
      <c r="P21" s="78">
        <v>50</v>
      </c>
      <c r="Q21" s="78">
        <v>21</v>
      </c>
      <c r="R21" s="78">
        <v>15</v>
      </c>
      <c r="S21" s="78">
        <v>10</v>
      </c>
      <c r="T21" s="337">
        <v>6</v>
      </c>
      <c r="U21" s="337">
        <v>8</v>
      </c>
      <c r="V21" s="275">
        <v>533</v>
      </c>
      <c r="W21" s="31" t="b">
        <f t="shared" si="2"/>
        <v>0</v>
      </c>
    </row>
    <row r="22" spans="1:24" ht="24.6" customHeight="1">
      <c r="A22" s="172" t="s">
        <v>659</v>
      </c>
      <c r="B22" s="78">
        <f t="shared" si="3"/>
        <v>6456</v>
      </c>
      <c r="C22" s="246">
        <f>F22+'11-6 續2完'!C22</f>
        <v>3739</v>
      </c>
      <c r="D22" s="246">
        <f>G22+'11-6 續2完'!D22</f>
        <v>2717</v>
      </c>
      <c r="E22" s="78">
        <f t="shared" si="1"/>
        <v>191</v>
      </c>
      <c r="F22" s="246">
        <f>SUM(H22,J22,L22,N22,P22,R22,T22,'11-6 續1'!B22,'11-6 續1'!D22,'11-6 續1'!F22,'11-6 續1'!H22,'11-6 續1'!J22,'11-6 續1'!L22,'11-6 續1'!N22,'11-6 續1'!P22,'11-6 續1'!R22)</f>
        <v>120</v>
      </c>
      <c r="G22" s="246">
        <f>SUM(I22,K22,M22,O22,Q22,S22,U22,'11-6 續1'!C22,'11-6 續1'!E22,'11-6 續1'!G22,'11-6 續1'!I22,'11-6 續1'!K22,'11-6 續1'!M22,'11-6 續1'!O22,'11-6 續1'!Q22,'11-6 續1'!S22)</f>
        <v>71</v>
      </c>
      <c r="H22" s="78">
        <v>4</v>
      </c>
      <c r="I22" s="78">
        <v>3</v>
      </c>
      <c r="J22" s="78">
        <v>16</v>
      </c>
      <c r="K22" s="78">
        <v>13</v>
      </c>
      <c r="L22" s="78">
        <v>0</v>
      </c>
      <c r="M22" s="338">
        <v>0</v>
      </c>
      <c r="N22" s="78">
        <v>0</v>
      </c>
      <c r="O22" s="78">
        <v>0</v>
      </c>
      <c r="P22" s="78">
        <v>64</v>
      </c>
      <c r="Q22" s="78">
        <v>30</v>
      </c>
      <c r="R22" s="78">
        <v>10</v>
      </c>
      <c r="S22" s="78">
        <v>3</v>
      </c>
      <c r="T22" s="337">
        <v>9</v>
      </c>
      <c r="U22" s="337">
        <v>7</v>
      </c>
      <c r="V22" s="275">
        <v>628</v>
      </c>
      <c r="W22" s="31" t="b">
        <f t="shared" si="2"/>
        <v>0</v>
      </c>
    </row>
    <row r="23" spans="1:24" ht="24.6" customHeight="1">
      <c r="A23" s="172" t="s">
        <v>660</v>
      </c>
      <c r="B23" s="78">
        <f>C23+D23</f>
        <v>5210</v>
      </c>
      <c r="C23" s="246">
        <f>F23+'11-6 續2完'!C23</f>
        <v>2965</v>
      </c>
      <c r="D23" s="246">
        <f>G23+'11-6 續2完'!D23</f>
        <v>2245</v>
      </c>
      <c r="E23" s="78">
        <f t="shared" si="1"/>
        <v>185</v>
      </c>
      <c r="F23" s="246">
        <f>SUM(H23,J23,L23,N23,P23,R23,T23,'11-6 續1'!B23,'11-6 續1'!D23,'11-6 續1'!F23,'11-6 續1'!H23,'11-6 續1'!J23,'11-6 續1'!L23,'11-6 續1'!N23,'11-6 續1'!P23,'11-6 續1'!R23)</f>
        <v>108</v>
      </c>
      <c r="G23" s="246">
        <f>SUM(I23,K23,M23,O23,Q23,S23,U23,'11-6 續1'!C23,'11-6 續1'!E23,'11-6 續1'!G23,'11-6 續1'!I23,'11-6 續1'!K23,'11-6 續1'!M23,'11-6 續1'!O23,'11-6 續1'!Q23,'11-6 續1'!S23)</f>
        <v>77</v>
      </c>
      <c r="H23" s="78">
        <v>5</v>
      </c>
      <c r="I23" s="78">
        <v>2</v>
      </c>
      <c r="J23" s="78">
        <v>6</v>
      </c>
      <c r="K23" s="78">
        <v>8</v>
      </c>
      <c r="L23" s="78">
        <v>0</v>
      </c>
      <c r="M23" s="78">
        <v>0</v>
      </c>
      <c r="N23" s="78">
        <v>4</v>
      </c>
      <c r="O23" s="78">
        <v>1</v>
      </c>
      <c r="P23" s="78">
        <v>48</v>
      </c>
      <c r="Q23" s="78">
        <v>32</v>
      </c>
      <c r="R23" s="78">
        <v>16</v>
      </c>
      <c r="S23" s="78">
        <v>10</v>
      </c>
      <c r="T23" s="337">
        <v>8</v>
      </c>
      <c r="U23" s="337">
        <v>12</v>
      </c>
      <c r="V23" s="275">
        <v>773</v>
      </c>
      <c r="W23" s="31" t="b">
        <f t="shared" si="2"/>
        <v>0</v>
      </c>
    </row>
    <row r="24" spans="1:24" ht="24.6" customHeight="1">
      <c r="A24" s="172" t="s">
        <v>661</v>
      </c>
      <c r="B24" s="78">
        <f>C24+D24</f>
        <v>3538</v>
      </c>
      <c r="C24" s="246">
        <f>F24+'11-6 續2完'!C24</f>
        <v>2076</v>
      </c>
      <c r="D24" s="246">
        <f>G24+'11-6 續2完'!D24</f>
        <v>1462</v>
      </c>
      <c r="E24" s="78">
        <f t="shared" si="1"/>
        <v>162</v>
      </c>
      <c r="F24" s="246">
        <f>SUM(H24,J24,L24,N24,P24,R24,T24,'11-6 續1'!B24,'11-6 續1'!D24,'11-6 續1'!F24,'11-6 續1'!H24,'11-6 續1'!J24,'11-6 續1'!L24,'11-6 續1'!N24,'11-6 續1'!P24,'11-6 續1'!R24)</f>
        <v>100</v>
      </c>
      <c r="G24" s="246">
        <f>SUM(I24,K24,M24,O24,Q24,S24,U24,'11-6 續1'!C24,'11-6 續1'!E24,'11-6 續1'!G24,'11-6 續1'!I24,'11-6 續1'!K24,'11-6 續1'!M24,'11-6 續1'!O24,'11-6 續1'!Q24,'11-6 續1'!S24)</f>
        <v>62</v>
      </c>
      <c r="H24" s="78">
        <v>6</v>
      </c>
      <c r="I24" s="78">
        <v>4</v>
      </c>
      <c r="J24" s="78">
        <v>10</v>
      </c>
      <c r="K24" s="78">
        <v>13</v>
      </c>
      <c r="L24" s="78">
        <v>0</v>
      </c>
      <c r="M24" s="78">
        <v>0</v>
      </c>
      <c r="N24" s="78">
        <v>3</v>
      </c>
      <c r="O24" s="78">
        <v>1</v>
      </c>
      <c r="P24" s="78">
        <v>50</v>
      </c>
      <c r="Q24" s="78">
        <v>20</v>
      </c>
      <c r="R24" s="78">
        <v>11</v>
      </c>
      <c r="S24" s="78">
        <v>8</v>
      </c>
      <c r="T24" s="78">
        <v>7</v>
      </c>
      <c r="U24" s="78">
        <v>2</v>
      </c>
      <c r="V24" s="275">
        <v>497</v>
      </c>
      <c r="W24" s="31" t="b">
        <f t="shared" si="2"/>
        <v>0</v>
      </c>
    </row>
    <row r="25" spans="1:24" ht="24.6" customHeight="1">
      <c r="A25" s="172" t="s">
        <v>662</v>
      </c>
      <c r="B25" s="78">
        <f t="shared" si="3"/>
        <v>6347</v>
      </c>
      <c r="C25" s="246">
        <f>F25+'11-6 續2完'!C25</f>
        <v>3651</v>
      </c>
      <c r="D25" s="246">
        <f>G25+'11-6 續2完'!D25</f>
        <v>2696</v>
      </c>
      <c r="E25" s="78">
        <f t="shared" si="1"/>
        <v>252</v>
      </c>
      <c r="F25" s="246">
        <f>SUM(H25,J25,L25,N25,P25,R25,T25,'11-6 續1'!B25,'11-6 續1'!D25,'11-6 續1'!F25,'11-6 續1'!H25,'11-6 續1'!J25,'11-6 續1'!L25,'11-6 續1'!N25,'11-6 續1'!P25,'11-6 續1'!R25)</f>
        <v>159</v>
      </c>
      <c r="G25" s="246">
        <f>SUM(I25,K25,M25,O25,Q25,S25,U25,'11-6 續1'!C25,'11-6 續1'!E25,'11-6 續1'!G25,'11-6 續1'!I25,'11-6 續1'!K25,'11-6 續1'!M25,'11-6 續1'!O25,'11-6 續1'!Q25,'11-6 續1'!S25)</f>
        <v>93</v>
      </c>
      <c r="H25" s="78">
        <v>8</v>
      </c>
      <c r="I25" s="78">
        <v>5</v>
      </c>
      <c r="J25" s="78">
        <v>23</v>
      </c>
      <c r="K25" s="78">
        <v>8</v>
      </c>
      <c r="L25" s="78">
        <v>1</v>
      </c>
      <c r="M25" s="78">
        <v>1</v>
      </c>
      <c r="N25" s="78">
        <v>1</v>
      </c>
      <c r="O25" s="78">
        <v>1</v>
      </c>
      <c r="P25" s="78">
        <v>77</v>
      </c>
      <c r="Q25" s="78">
        <v>37</v>
      </c>
      <c r="R25" s="78">
        <v>14</v>
      </c>
      <c r="S25" s="78">
        <v>12</v>
      </c>
      <c r="T25" s="78">
        <v>16</v>
      </c>
      <c r="U25" s="78">
        <v>15</v>
      </c>
      <c r="V25" s="275">
        <v>840</v>
      </c>
      <c r="W25" s="31" t="b">
        <f t="shared" si="2"/>
        <v>0</v>
      </c>
    </row>
    <row r="26" spans="1:24" ht="24.6" customHeight="1">
      <c r="A26" s="172" t="s">
        <v>663</v>
      </c>
      <c r="B26" s="78">
        <f t="shared" si="3"/>
        <v>7965</v>
      </c>
      <c r="C26" s="246">
        <f>F26+'11-6 續2完'!C26</f>
        <v>4535</v>
      </c>
      <c r="D26" s="246">
        <f>G26+'11-6 續2完'!D26</f>
        <v>3430</v>
      </c>
      <c r="E26" s="78">
        <f t="shared" si="1"/>
        <v>276</v>
      </c>
      <c r="F26" s="246">
        <f>SUM(H26,J26,L26,N26,P26,R26,T26,'11-6 續1'!B26,'11-6 續1'!D26,'11-6 續1'!F26,'11-6 續1'!H26,'11-6 續1'!J26,'11-6 續1'!L26,'11-6 續1'!N26,'11-6 續1'!P26,'11-6 續1'!R26)</f>
        <v>164</v>
      </c>
      <c r="G26" s="246">
        <f>SUM(I26,K26,M26,O26,Q26,S26,U26,'11-6 續1'!C26,'11-6 續1'!E26,'11-6 續1'!G26,'11-6 續1'!I26,'11-6 續1'!K26,'11-6 續1'!M26,'11-6 續1'!O26,'11-6 續1'!Q26,'11-6 續1'!S26)</f>
        <v>112</v>
      </c>
      <c r="H26" s="78">
        <v>5</v>
      </c>
      <c r="I26" s="78">
        <v>5</v>
      </c>
      <c r="J26" s="78">
        <v>30</v>
      </c>
      <c r="K26" s="78">
        <v>10</v>
      </c>
      <c r="L26" s="78">
        <v>0</v>
      </c>
      <c r="M26" s="78">
        <v>0</v>
      </c>
      <c r="N26" s="78">
        <v>4</v>
      </c>
      <c r="O26" s="78">
        <v>0</v>
      </c>
      <c r="P26" s="78">
        <v>67</v>
      </c>
      <c r="Q26" s="78">
        <v>42</v>
      </c>
      <c r="R26" s="78">
        <v>15</v>
      </c>
      <c r="S26" s="78">
        <v>24</v>
      </c>
      <c r="T26" s="78">
        <v>18</v>
      </c>
      <c r="U26" s="78">
        <v>8</v>
      </c>
      <c r="V26" s="275">
        <v>1003</v>
      </c>
      <c r="W26" s="31" t="b">
        <f t="shared" si="2"/>
        <v>0</v>
      </c>
    </row>
    <row r="27" spans="1:24" ht="24.6" customHeight="1">
      <c r="A27" s="172" t="s">
        <v>664</v>
      </c>
      <c r="B27" s="78">
        <f t="shared" si="3"/>
        <v>5101</v>
      </c>
      <c r="C27" s="246">
        <f>F27+'11-6 續2完'!C27</f>
        <v>2861</v>
      </c>
      <c r="D27" s="246">
        <f>G27+'11-6 續2完'!D27</f>
        <v>2240</v>
      </c>
      <c r="E27" s="78">
        <f t="shared" si="1"/>
        <v>171</v>
      </c>
      <c r="F27" s="246">
        <f>SUM(H27,J27,L27,N27,P27,R27,T27,'11-6 續1'!B27,'11-6 續1'!D27,'11-6 續1'!F27,'11-6 續1'!H27,'11-6 續1'!J27,'11-6 續1'!L27,'11-6 續1'!N27,'11-6 續1'!P27,'11-6 續1'!R27)</f>
        <v>105</v>
      </c>
      <c r="G27" s="246">
        <f>SUM(I27,K27,M27,O27,Q27,S27,U27,'11-6 續1'!C27,'11-6 續1'!E27,'11-6 續1'!G27,'11-6 續1'!I27,'11-6 續1'!K27,'11-6 續1'!M27,'11-6 續1'!O27,'11-6 續1'!Q27,'11-6 續1'!S27)</f>
        <v>66</v>
      </c>
      <c r="H27" s="78">
        <v>6</v>
      </c>
      <c r="I27" s="78">
        <v>1</v>
      </c>
      <c r="J27" s="78">
        <v>11</v>
      </c>
      <c r="K27" s="78">
        <v>7</v>
      </c>
      <c r="L27" s="78">
        <v>0</v>
      </c>
      <c r="M27" s="78">
        <v>0</v>
      </c>
      <c r="N27" s="78">
        <v>2</v>
      </c>
      <c r="O27" s="78">
        <v>1</v>
      </c>
      <c r="P27" s="78">
        <v>50</v>
      </c>
      <c r="Q27" s="78">
        <v>30</v>
      </c>
      <c r="R27" s="78">
        <v>14</v>
      </c>
      <c r="S27" s="78">
        <v>11</v>
      </c>
      <c r="T27" s="78">
        <v>6</v>
      </c>
      <c r="U27" s="78">
        <v>5</v>
      </c>
      <c r="V27" s="275">
        <v>547</v>
      </c>
      <c r="W27" s="31" t="b">
        <f t="shared" si="2"/>
        <v>0</v>
      </c>
    </row>
    <row r="28" spans="1:24" ht="24.6" customHeight="1">
      <c r="A28" s="172" t="s">
        <v>665</v>
      </c>
      <c r="B28" s="78">
        <f>C28+D28</f>
        <v>8478</v>
      </c>
      <c r="C28" s="246">
        <f>F28+'11-6 續2完'!C28</f>
        <v>4835</v>
      </c>
      <c r="D28" s="246">
        <f>G28+'11-6 續2完'!D28</f>
        <v>3643</v>
      </c>
      <c r="E28" s="78">
        <f t="shared" si="1"/>
        <v>309</v>
      </c>
      <c r="F28" s="246">
        <f>SUM(H28,J28,L28,N28,P28,R28,T28,'11-6 續1'!B28,'11-6 續1'!D28,'11-6 續1'!F28,'11-6 續1'!H28,'11-6 續1'!J28,'11-6 續1'!L28,'11-6 續1'!N28,'11-6 續1'!P28,'11-6 續1'!R28)</f>
        <v>182</v>
      </c>
      <c r="G28" s="246">
        <f>SUM(I28,K28,M28,O28,Q28,S28,U28,'11-6 續1'!C28,'11-6 續1'!E28,'11-6 續1'!G28,'11-6 續1'!I28,'11-6 續1'!K28,'11-6 續1'!M28,'11-6 續1'!O28,'11-6 續1'!Q28,'11-6 續1'!S28)</f>
        <v>127</v>
      </c>
      <c r="H28" s="78">
        <v>4</v>
      </c>
      <c r="I28" s="78">
        <v>4</v>
      </c>
      <c r="J28" s="78">
        <v>21</v>
      </c>
      <c r="K28" s="78">
        <v>24</v>
      </c>
      <c r="L28" s="78">
        <v>0</v>
      </c>
      <c r="M28" s="78">
        <v>0</v>
      </c>
      <c r="N28" s="78">
        <v>2</v>
      </c>
      <c r="O28" s="78">
        <v>1</v>
      </c>
      <c r="P28" s="78">
        <v>85</v>
      </c>
      <c r="Q28" s="78">
        <v>43</v>
      </c>
      <c r="R28" s="78">
        <v>22</v>
      </c>
      <c r="S28" s="78">
        <v>13</v>
      </c>
      <c r="T28" s="78">
        <v>26</v>
      </c>
      <c r="U28" s="78">
        <v>15</v>
      </c>
      <c r="V28" s="275">
        <v>932</v>
      </c>
      <c r="W28" s="31" t="b">
        <f t="shared" si="2"/>
        <v>0</v>
      </c>
    </row>
    <row r="29" spans="1:24" ht="24.6" customHeight="1">
      <c r="A29" s="172" t="s">
        <v>666</v>
      </c>
      <c r="B29" s="78">
        <f t="shared" si="3"/>
        <v>2429</v>
      </c>
      <c r="C29" s="246">
        <f>F29+'11-6 續2完'!C29</f>
        <v>1475</v>
      </c>
      <c r="D29" s="246">
        <f>G29+'11-6 續2完'!D29</f>
        <v>954</v>
      </c>
      <c r="E29" s="78">
        <f t="shared" si="1"/>
        <v>95</v>
      </c>
      <c r="F29" s="246">
        <f>SUM(H29,J29,L29,N29,P29,R29,T29,'11-6 續1'!B29,'11-6 續1'!D29,'11-6 續1'!F29,'11-6 續1'!H29,'11-6 續1'!J29,'11-6 續1'!L29,'11-6 續1'!N29,'11-6 續1'!P29,'11-6 續1'!R29)</f>
        <v>60</v>
      </c>
      <c r="G29" s="246">
        <f>SUM(I29,K29,M29,O29,Q29,S29,U29,'11-6 續1'!C29,'11-6 續1'!E29,'11-6 續1'!G29,'11-6 續1'!I29,'11-6 續1'!K29,'11-6 續1'!M29,'11-6 續1'!O29,'11-6 續1'!Q29,'11-6 續1'!S29)</f>
        <v>35</v>
      </c>
      <c r="H29" s="78">
        <v>0</v>
      </c>
      <c r="I29" s="78">
        <v>3</v>
      </c>
      <c r="J29" s="78">
        <v>11</v>
      </c>
      <c r="K29" s="78">
        <v>8</v>
      </c>
      <c r="L29" s="78">
        <v>0</v>
      </c>
      <c r="M29" s="78">
        <v>0</v>
      </c>
      <c r="N29" s="78">
        <v>1</v>
      </c>
      <c r="O29" s="78">
        <v>0</v>
      </c>
      <c r="P29" s="78">
        <v>25</v>
      </c>
      <c r="Q29" s="78">
        <v>10</v>
      </c>
      <c r="R29" s="78">
        <v>9</v>
      </c>
      <c r="S29" s="78">
        <v>4</v>
      </c>
      <c r="T29" s="78">
        <v>3</v>
      </c>
      <c r="U29" s="78">
        <v>4</v>
      </c>
      <c r="V29" s="275">
        <v>332</v>
      </c>
      <c r="W29" s="31" t="b">
        <f t="shared" si="2"/>
        <v>0</v>
      </c>
    </row>
    <row r="30" spans="1:24" ht="24.6" customHeight="1">
      <c r="A30" s="172" t="s">
        <v>667</v>
      </c>
      <c r="B30" s="78">
        <f t="shared" si="3"/>
        <v>2880</v>
      </c>
      <c r="C30" s="246">
        <f>F30+'11-6 續2完'!C30</f>
        <v>1664</v>
      </c>
      <c r="D30" s="246">
        <f>G30+'11-6 續2完'!D30</f>
        <v>1216</v>
      </c>
      <c r="E30" s="78">
        <f t="shared" si="1"/>
        <v>141</v>
      </c>
      <c r="F30" s="246">
        <f>SUM(H30,J30,L30,N30,P30,R30,T30,'11-6 續1'!B30,'11-6 續1'!D30,'11-6 續1'!F30,'11-6 續1'!H30,'11-6 續1'!J30,'11-6 續1'!L30,'11-6 續1'!N30,'11-6 續1'!P30,'11-6 續1'!R30)</f>
        <v>91</v>
      </c>
      <c r="G30" s="246">
        <f>SUM(I30,K30,M30,O30,Q30,S30,U30,'11-6 續1'!C30,'11-6 續1'!E30,'11-6 續1'!G30,'11-6 續1'!I30,'11-6 續1'!K30,'11-6 續1'!M30,'11-6 續1'!O30,'11-6 續1'!Q30,'11-6 續1'!S30)</f>
        <v>50</v>
      </c>
      <c r="H30" s="78">
        <v>2</v>
      </c>
      <c r="I30" s="78">
        <v>5</v>
      </c>
      <c r="J30" s="78">
        <v>9</v>
      </c>
      <c r="K30" s="78">
        <v>6</v>
      </c>
      <c r="L30" s="78">
        <v>0</v>
      </c>
      <c r="M30" s="78">
        <v>0</v>
      </c>
      <c r="N30" s="78">
        <v>4</v>
      </c>
      <c r="O30" s="78">
        <v>1</v>
      </c>
      <c r="P30" s="78">
        <v>49</v>
      </c>
      <c r="Q30" s="78">
        <v>14</v>
      </c>
      <c r="R30" s="78">
        <v>7</v>
      </c>
      <c r="S30" s="78">
        <v>13</v>
      </c>
      <c r="T30" s="78">
        <v>4</v>
      </c>
      <c r="U30" s="78">
        <v>4</v>
      </c>
      <c r="V30" s="275">
        <v>470</v>
      </c>
      <c r="W30" s="31" t="b">
        <f t="shared" si="2"/>
        <v>0</v>
      </c>
    </row>
    <row r="31" spans="1:24" ht="24.6" customHeight="1" thickBot="1">
      <c r="A31" s="173" t="s">
        <v>668</v>
      </c>
      <c r="B31" s="339">
        <f t="shared" si="3"/>
        <v>767</v>
      </c>
      <c r="C31" s="340">
        <f>F31+'11-6 續2完'!C31</f>
        <v>495</v>
      </c>
      <c r="D31" s="340">
        <f>G31+'11-6 續2完'!D31</f>
        <v>272</v>
      </c>
      <c r="E31" s="341">
        <f t="shared" si="1"/>
        <v>51</v>
      </c>
      <c r="F31" s="340">
        <f>SUM(H31,J31,L31,N31,P31,R31,T31,'11-6 續1'!B31,'11-6 續1'!D31,'11-6 續1'!F31,'11-6 續1'!H31,'11-6 續1'!J31,'11-6 續1'!L31,'11-6 續1'!N31,'11-6 續1'!P31,'11-6 續1'!R31)</f>
        <v>29</v>
      </c>
      <c r="G31" s="340">
        <f>SUM(I31,K31,M31,O31,Q31,S31,U31,'11-6 續1'!C31,'11-6 續1'!E31,'11-6 續1'!G31,'11-6 續1'!I31,'11-6 續1'!K31,'11-6 續1'!M31,'11-6 續1'!O31,'11-6 續1'!Q31,'11-6 續1'!S31)</f>
        <v>22</v>
      </c>
      <c r="H31" s="341">
        <v>0</v>
      </c>
      <c r="I31" s="341">
        <v>1</v>
      </c>
      <c r="J31" s="341">
        <v>3</v>
      </c>
      <c r="K31" s="341">
        <v>7</v>
      </c>
      <c r="L31" s="341">
        <v>0</v>
      </c>
      <c r="M31" s="341">
        <v>0</v>
      </c>
      <c r="N31" s="341">
        <v>0</v>
      </c>
      <c r="O31" s="341">
        <v>0</v>
      </c>
      <c r="P31" s="341">
        <v>22</v>
      </c>
      <c r="Q31" s="341">
        <v>5</v>
      </c>
      <c r="R31" s="341">
        <v>1</v>
      </c>
      <c r="S31" s="341">
        <v>2</v>
      </c>
      <c r="T31" s="341">
        <v>2</v>
      </c>
      <c r="U31" s="341">
        <v>0</v>
      </c>
      <c r="V31" s="275">
        <v>119</v>
      </c>
      <c r="W31" s="31" t="b">
        <f t="shared" si="2"/>
        <v>0</v>
      </c>
    </row>
    <row r="32" spans="1:24" s="550" customFormat="1" ht="15" customHeight="1">
      <c r="A32" s="540" t="s">
        <v>937</v>
      </c>
      <c r="B32" s="260"/>
      <c r="C32" s="260"/>
      <c r="D32" s="260"/>
      <c r="E32" s="260"/>
      <c r="F32" s="260"/>
      <c r="G32" s="260"/>
      <c r="H32" s="260"/>
      <c r="I32" s="260"/>
      <c r="J32" s="541" t="s">
        <v>160</v>
      </c>
      <c r="K32" s="260"/>
      <c r="L32" s="260"/>
      <c r="M32" s="260"/>
      <c r="N32" s="260"/>
      <c r="P32" s="260"/>
      <c r="Q32" s="260"/>
      <c r="S32" s="541"/>
      <c r="T32" s="260"/>
      <c r="U32" s="260"/>
    </row>
    <row r="33" spans="1:21" s="550" customFormat="1" ht="15" customHeight="1">
      <c r="A33" s="540" t="s">
        <v>1161</v>
      </c>
      <c r="B33" s="260"/>
      <c r="C33" s="260"/>
      <c r="D33" s="260"/>
      <c r="E33" s="260"/>
      <c r="F33" s="260"/>
      <c r="G33" s="260"/>
      <c r="H33" s="260"/>
      <c r="I33" s="260"/>
      <c r="J33" s="541" t="s">
        <v>1162</v>
      </c>
      <c r="K33" s="260"/>
      <c r="L33" s="260"/>
      <c r="M33" s="260"/>
      <c r="N33" s="260"/>
      <c r="P33" s="260"/>
      <c r="Q33" s="260"/>
      <c r="S33" s="541"/>
      <c r="T33" s="260"/>
      <c r="U33" s="260"/>
    </row>
    <row r="34" spans="1:21" s="550" customFormat="1">
      <c r="A34" s="102" t="s">
        <v>1163</v>
      </c>
      <c r="J34" s="541" t="s">
        <v>1379</v>
      </c>
      <c r="O34" s="530"/>
      <c r="P34" s="530"/>
    </row>
    <row r="35" spans="1:21" s="550" customFormat="1">
      <c r="O35" s="530"/>
      <c r="P35" s="530"/>
    </row>
    <row r="36" spans="1:21" s="550" customFormat="1">
      <c r="O36" s="530"/>
      <c r="P36" s="530"/>
    </row>
    <row r="37" spans="1:21" s="550" customFormat="1">
      <c r="O37" s="530"/>
      <c r="P37" s="530"/>
    </row>
    <row r="38" spans="1:21" s="550" customFormat="1">
      <c r="O38" s="530"/>
      <c r="P38" s="530"/>
    </row>
    <row r="39" spans="1:21" s="550" customFormat="1">
      <c r="O39" s="530"/>
      <c r="P39" s="530"/>
    </row>
    <row r="40" spans="1:21" s="550" customFormat="1">
      <c r="O40" s="530"/>
      <c r="P40" s="530"/>
    </row>
    <row r="41" spans="1:21" s="550" customFormat="1">
      <c r="O41" s="530"/>
      <c r="P41" s="530"/>
    </row>
    <row r="42" spans="1:21" s="550" customFormat="1">
      <c r="O42" s="530"/>
      <c r="P42" s="530"/>
    </row>
    <row r="43" spans="1:21" s="550" customFormat="1">
      <c r="O43" s="530"/>
      <c r="P43" s="530"/>
    </row>
    <row r="44" spans="1:21">
      <c r="O44" s="46"/>
      <c r="Q44" s="31"/>
    </row>
    <row r="45" spans="1:21">
      <c r="O45" s="46"/>
      <c r="Q45" s="31"/>
    </row>
    <row r="46" spans="1:21">
      <c r="O46" s="46"/>
      <c r="Q46" s="31"/>
    </row>
    <row r="47" spans="1:21">
      <c r="O47" s="46"/>
      <c r="Q47" s="31"/>
    </row>
    <row r="48" spans="1:21">
      <c r="O48" s="46"/>
      <c r="Q48" s="31"/>
    </row>
  </sheetData>
  <mergeCells count="24">
    <mergeCell ref="L6:M6"/>
    <mergeCell ref="N6:O6"/>
    <mergeCell ref="P6:Q6"/>
    <mergeCell ref="R6:S6"/>
    <mergeCell ref="T6:U6"/>
    <mergeCell ref="A6:A8"/>
    <mergeCell ref="B6:D6"/>
    <mergeCell ref="E6:G6"/>
    <mergeCell ref="H6:I6"/>
    <mergeCell ref="J6:K6"/>
    <mergeCell ref="A2:I2"/>
    <mergeCell ref="J2:U2"/>
    <mergeCell ref="A4:A5"/>
    <mergeCell ref="B4:D5"/>
    <mergeCell ref="E4:I4"/>
    <mergeCell ref="J4:U4"/>
    <mergeCell ref="E5:G5"/>
    <mergeCell ref="H5:I5"/>
    <mergeCell ref="J5:K5"/>
    <mergeCell ref="L5:M5"/>
    <mergeCell ref="N5:O5"/>
    <mergeCell ref="P5:Q5"/>
    <mergeCell ref="R5:S5"/>
    <mergeCell ref="T5:U5"/>
  </mergeCells>
  <phoneticPr fontId="6" type="noConversion"/>
  <printOptions horizontalCentered="1"/>
  <pageMargins left="0.6692913385826772" right="0.6692913385826772" top="0.6692913385826772" bottom="0.6692913385826772" header="0.27559055118110237" footer="0.27559055118110237"/>
  <pageSetup paperSize="9" firstPageNumber="352" orientation="portrait" useFirstPageNumber="1"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工作表9"/>
  <dimension ref="A1:Y35"/>
  <sheetViews>
    <sheetView showGridLines="0" view="pageBreakPreview" zoomScale="90" zoomScaleNormal="70" zoomScaleSheetLayoutView="90" zoomScalePageLayoutView="55" workbookViewId="0">
      <pane xSplit="1" ySplit="8" topLeftCell="B24" activePane="bottomRight" state="frozen"/>
      <selection activeCell="E35" sqref="E35"/>
      <selection pane="topRight" activeCell="E35" sqref="E35"/>
      <selection pane="bottomLeft" activeCell="E35" sqref="E35"/>
      <selection pane="bottomRight" activeCell="F22" sqref="F22"/>
    </sheetView>
  </sheetViews>
  <sheetFormatPr defaultRowHeight="12.75"/>
  <cols>
    <col min="1" max="1" width="19.625" style="551" customWidth="1"/>
    <col min="2" max="9" width="8.125" style="8" customWidth="1"/>
    <col min="10" max="19" width="8.625" style="8" customWidth="1"/>
    <col min="20" max="16384" width="9" style="8"/>
  </cols>
  <sheetData>
    <row r="1" spans="1:25" s="551" customFormat="1" ht="18" customHeight="1">
      <c r="A1" s="90" t="s">
        <v>934</v>
      </c>
      <c r="B1" s="90"/>
      <c r="M1" s="97"/>
      <c r="N1" s="97"/>
      <c r="O1" s="97"/>
      <c r="P1" s="97"/>
      <c r="Q1" s="97"/>
      <c r="R1" s="97"/>
      <c r="S1" s="559" t="s">
        <v>161</v>
      </c>
    </row>
    <row r="2" spans="1:25" s="551" customFormat="1" ht="24.95" customHeight="1">
      <c r="A2" s="716" t="s">
        <v>1381</v>
      </c>
      <c r="B2" s="716"/>
      <c r="C2" s="716"/>
      <c r="D2" s="716"/>
      <c r="E2" s="716"/>
      <c r="F2" s="716"/>
      <c r="G2" s="716"/>
      <c r="H2" s="716"/>
      <c r="I2" s="717"/>
      <c r="J2" s="716" t="s">
        <v>162</v>
      </c>
      <c r="K2" s="716"/>
      <c r="L2" s="716"/>
      <c r="M2" s="716"/>
      <c r="N2" s="716"/>
      <c r="O2" s="716"/>
      <c r="P2" s="716"/>
      <c r="Q2" s="716"/>
      <c r="R2" s="716"/>
      <c r="S2" s="716"/>
      <c r="T2" s="97"/>
      <c r="U2" s="97"/>
      <c r="V2" s="97"/>
      <c r="W2" s="97"/>
      <c r="X2" s="97"/>
      <c r="Y2" s="97"/>
    </row>
    <row r="3" spans="1:25" s="551" customFormat="1" ht="15" customHeight="1" thickBot="1">
      <c r="A3" s="560"/>
      <c r="B3" s="560"/>
      <c r="C3" s="560"/>
      <c r="D3" s="560"/>
      <c r="E3" s="560"/>
      <c r="F3" s="560"/>
      <c r="G3" s="560"/>
      <c r="H3" s="560"/>
      <c r="I3" s="561" t="s">
        <v>940</v>
      </c>
      <c r="J3" s="560"/>
      <c r="K3" s="560"/>
      <c r="L3" s="101"/>
      <c r="M3" s="101"/>
      <c r="N3" s="101"/>
      <c r="O3" s="101"/>
      <c r="P3" s="101"/>
      <c r="Q3" s="101"/>
      <c r="S3" s="561" t="s">
        <v>163</v>
      </c>
    </row>
    <row r="4" spans="1:25" s="551" customFormat="1" ht="21.95" customHeight="1">
      <c r="A4" s="718" t="s">
        <v>1382</v>
      </c>
      <c r="B4" s="720" t="s">
        <v>1383</v>
      </c>
      <c r="C4" s="721"/>
      <c r="D4" s="721"/>
      <c r="E4" s="721"/>
      <c r="F4" s="721"/>
      <c r="G4" s="721"/>
      <c r="H4" s="721"/>
      <c r="I4" s="721"/>
      <c r="J4" s="721" t="s">
        <v>164</v>
      </c>
      <c r="K4" s="721"/>
      <c r="L4" s="721"/>
      <c r="M4" s="721"/>
      <c r="N4" s="721"/>
      <c r="O4" s="721"/>
      <c r="P4" s="721"/>
      <c r="Q4" s="721"/>
      <c r="R4" s="721"/>
      <c r="S4" s="722"/>
    </row>
    <row r="5" spans="1:25" s="551" customFormat="1" ht="30" customHeight="1">
      <c r="A5" s="719"/>
      <c r="B5" s="723" t="s">
        <v>670</v>
      </c>
      <c r="C5" s="723"/>
      <c r="D5" s="724" t="s">
        <v>671</v>
      </c>
      <c r="E5" s="724"/>
      <c r="F5" s="723" t="s">
        <v>1384</v>
      </c>
      <c r="G5" s="723"/>
      <c r="H5" s="723" t="s">
        <v>1385</v>
      </c>
      <c r="I5" s="723"/>
      <c r="J5" s="725" t="s">
        <v>1386</v>
      </c>
      <c r="K5" s="723"/>
      <c r="L5" s="723" t="s">
        <v>672</v>
      </c>
      <c r="M5" s="723"/>
      <c r="N5" s="723" t="s">
        <v>673</v>
      </c>
      <c r="O5" s="723"/>
      <c r="P5" s="723" t="s">
        <v>1380</v>
      </c>
      <c r="Q5" s="723"/>
      <c r="R5" s="724" t="s">
        <v>1387</v>
      </c>
      <c r="S5" s="724"/>
      <c r="T5" s="101"/>
    </row>
    <row r="6" spans="1:25" s="551" customFormat="1" ht="30" customHeight="1">
      <c r="A6" s="719" t="s">
        <v>165</v>
      </c>
      <c r="B6" s="727" t="s">
        <v>166</v>
      </c>
      <c r="C6" s="728"/>
      <c r="D6" s="727" t="s">
        <v>167</v>
      </c>
      <c r="E6" s="728"/>
      <c r="F6" s="729" t="s">
        <v>168</v>
      </c>
      <c r="G6" s="728"/>
      <c r="H6" s="729" t="s">
        <v>169</v>
      </c>
      <c r="I6" s="728"/>
      <c r="J6" s="730" t="s">
        <v>170</v>
      </c>
      <c r="K6" s="728"/>
      <c r="L6" s="727" t="s">
        <v>171</v>
      </c>
      <c r="M6" s="728"/>
      <c r="N6" s="727" t="s">
        <v>172</v>
      </c>
      <c r="O6" s="731"/>
      <c r="P6" s="727" t="s">
        <v>173</v>
      </c>
      <c r="Q6" s="731"/>
      <c r="R6" s="729" t="s">
        <v>174</v>
      </c>
      <c r="S6" s="728"/>
    </row>
    <row r="7" spans="1:25" s="551" customFormat="1" ht="17.100000000000001" customHeight="1">
      <c r="A7" s="719"/>
      <c r="B7" s="553" t="s">
        <v>464</v>
      </c>
      <c r="C7" s="553" t="s">
        <v>465</v>
      </c>
      <c r="D7" s="553" t="s">
        <v>464</v>
      </c>
      <c r="E7" s="553" t="s">
        <v>465</v>
      </c>
      <c r="F7" s="553" t="s">
        <v>464</v>
      </c>
      <c r="G7" s="553" t="s">
        <v>465</v>
      </c>
      <c r="H7" s="553" t="s">
        <v>464</v>
      </c>
      <c r="I7" s="553" t="s">
        <v>465</v>
      </c>
      <c r="J7" s="554" t="s">
        <v>464</v>
      </c>
      <c r="K7" s="553" t="s">
        <v>465</v>
      </c>
      <c r="L7" s="553" t="s">
        <v>464</v>
      </c>
      <c r="M7" s="553" t="s">
        <v>1323</v>
      </c>
      <c r="N7" s="553" t="s">
        <v>464</v>
      </c>
      <c r="O7" s="553" t="s">
        <v>1323</v>
      </c>
      <c r="P7" s="553" t="s">
        <v>464</v>
      </c>
      <c r="Q7" s="553" t="s">
        <v>465</v>
      </c>
      <c r="R7" s="553" t="s">
        <v>464</v>
      </c>
      <c r="S7" s="553" t="s">
        <v>465</v>
      </c>
    </row>
    <row r="8" spans="1:25" s="96" customFormat="1" ht="17.100000000000001" customHeight="1" thickBot="1">
      <c r="A8" s="726"/>
      <c r="B8" s="556" t="s">
        <v>158</v>
      </c>
      <c r="C8" s="556" t="s">
        <v>159</v>
      </c>
      <c r="D8" s="556" t="s">
        <v>158</v>
      </c>
      <c r="E8" s="556" t="s">
        <v>159</v>
      </c>
      <c r="F8" s="556" t="s">
        <v>158</v>
      </c>
      <c r="G8" s="556" t="s">
        <v>159</v>
      </c>
      <c r="H8" s="556" t="s">
        <v>158</v>
      </c>
      <c r="I8" s="556" t="s">
        <v>159</v>
      </c>
      <c r="J8" s="558" t="s">
        <v>158</v>
      </c>
      <c r="K8" s="556" t="s">
        <v>159</v>
      </c>
      <c r="L8" s="556" t="s">
        <v>158</v>
      </c>
      <c r="M8" s="556" t="s">
        <v>159</v>
      </c>
      <c r="N8" s="556" t="s">
        <v>158</v>
      </c>
      <c r="O8" s="556" t="s">
        <v>159</v>
      </c>
      <c r="P8" s="556" t="s">
        <v>158</v>
      </c>
      <c r="Q8" s="556" t="s">
        <v>159</v>
      </c>
      <c r="R8" s="556" t="s">
        <v>158</v>
      </c>
      <c r="S8" s="556" t="s">
        <v>159</v>
      </c>
      <c r="T8" s="555"/>
    </row>
    <row r="9" spans="1:25" ht="26.1" customHeight="1">
      <c r="A9" s="174" t="s">
        <v>507</v>
      </c>
      <c r="B9" s="381">
        <v>179</v>
      </c>
      <c r="C9" s="381">
        <v>97</v>
      </c>
      <c r="D9" s="381">
        <v>243</v>
      </c>
      <c r="E9" s="381">
        <v>158</v>
      </c>
      <c r="F9" s="381">
        <v>828</v>
      </c>
      <c r="G9" s="381">
        <v>929</v>
      </c>
      <c r="H9" s="381">
        <v>703</v>
      </c>
      <c r="I9" s="381">
        <v>80</v>
      </c>
      <c r="J9" s="381">
        <v>3158</v>
      </c>
      <c r="K9" s="381">
        <v>3428</v>
      </c>
      <c r="L9" s="381">
        <v>4446</v>
      </c>
      <c r="M9" s="381">
        <v>2935</v>
      </c>
      <c r="N9" s="381">
        <v>148</v>
      </c>
      <c r="O9" s="381">
        <v>120</v>
      </c>
      <c r="P9" s="381">
        <v>67</v>
      </c>
      <c r="Q9" s="381">
        <v>56</v>
      </c>
      <c r="R9" s="381">
        <v>168</v>
      </c>
      <c r="S9" s="381">
        <v>130</v>
      </c>
      <c r="T9" s="15"/>
      <c r="U9" s="15"/>
      <c r="V9" s="15"/>
      <c r="W9" s="15"/>
      <c r="X9" s="15"/>
      <c r="Y9" s="15"/>
    </row>
    <row r="10" spans="1:25" ht="26.1" customHeight="1">
      <c r="A10" s="174" t="s">
        <v>1374</v>
      </c>
      <c r="B10" s="381">
        <v>190</v>
      </c>
      <c r="C10" s="381">
        <v>100</v>
      </c>
      <c r="D10" s="381">
        <v>245</v>
      </c>
      <c r="E10" s="381">
        <v>155</v>
      </c>
      <c r="F10" s="381">
        <v>873</v>
      </c>
      <c r="G10" s="381">
        <v>1018</v>
      </c>
      <c r="H10" s="381">
        <v>795</v>
      </c>
      <c r="I10" s="381">
        <v>90</v>
      </c>
      <c r="J10" s="381">
        <v>3317</v>
      </c>
      <c r="K10" s="381">
        <v>3618</v>
      </c>
      <c r="L10" s="381">
        <v>4782</v>
      </c>
      <c r="M10" s="381">
        <v>3143</v>
      </c>
      <c r="N10" s="381">
        <v>153</v>
      </c>
      <c r="O10" s="381">
        <v>136</v>
      </c>
      <c r="P10" s="381">
        <v>73</v>
      </c>
      <c r="Q10" s="381">
        <v>58</v>
      </c>
      <c r="R10" s="381">
        <v>164</v>
      </c>
      <c r="S10" s="381">
        <v>128</v>
      </c>
      <c r="T10" s="15"/>
      <c r="U10" s="15"/>
      <c r="V10" s="15"/>
      <c r="W10" s="15"/>
      <c r="X10" s="15"/>
      <c r="Y10" s="15"/>
    </row>
    <row r="11" spans="1:25" ht="26.1" customHeight="1">
      <c r="A11" s="174" t="s">
        <v>1375</v>
      </c>
      <c r="B11" s="381">
        <v>191</v>
      </c>
      <c r="C11" s="381">
        <v>107</v>
      </c>
      <c r="D11" s="381">
        <v>250</v>
      </c>
      <c r="E11" s="381">
        <v>160</v>
      </c>
      <c r="F11" s="381">
        <v>939</v>
      </c>
      <c r="G11" s="381">
        <v>1137</v>
      </c>
      <c r="H11" s="381">
        <v>864</v>
      </c>
      <c r="I11" s="381">
        <v>97</v>
      </c>
      <c r="J11" s="381">
        <v>3464</v>
      </c>
      <c r="K11" s="381">
        <v>3779</v>
      </c>
      <c r="L11" s="381">
        <v>5087</v>
      </c>
      <c r="M11" s="381">
        <v>3366</v>
      </c>
      <c r="N11" s="381">
        <v>165</v>
      </c>
      <c r="O11" s="381">
        <v>149</v>
      </c>
      <c r="P11" s="381">
        <v>77</v>
      </c>
      <c r="Q11" s="381">
        <v>68</v>
      </c>
      <c r="R11" s="381">
        <v>163</v>
      </c>
      <c r="S11" s="381">
        <v>133</v>
      </c>
      <c r="T11" s="15"/>
      <c r="U11" s="15"/>
      <c r="V11" s="15"/>
      <c r="W11" s="15"/>
      <c r="X11" s="15"/>
      <c r="Y11" s="15"/>
    </row>
    <row r="12" spans="1:25" ht="26.1" customHeight="1">
      <c r="A12" s="174" t="s">
        <v>1376</v>
      </c>
      <c r="B12" s="381">
        <v>197</v>
      </c>
      <c r="C12" s="381">
        <v>101</v>
      </c>
      <c r="D12" s="381">
        <v>209</v>
      </c>
      <c r="E12" s="381">
        <v>146</v>
      </c>
      <c r="F12" s="381">
        <v>933</v>
      </c>
      <c r="G12" s="381">
        <v>1179</v>
      </c>
      <c r="H12" s="381">
        <v>938</v>
      </c>
      <c r="I12" s="381">
        <v>112</v>
      </c>
      <c r="J12" s="381">
        <v>3574</v>
      </c>
      <c r="K12" s="381">
        <v>3875</v>
      </c>
      <c r="L12" s="381">
        <v>4912</v>
      </c>
      <c r="M12" s="381">
        <v>3383</v>
      </c>
      <c r="N12" s="381">
        <v>176</v>
      </c>
      <c r="O12" s="381">
        <v>149</v>
      </c>
      <c r="P12" s="381">
        <v>78</v>
      </c>
      <c r="Q12" s="381">
        <v>78</v>
      </c>
      <c r="R12" s="381">
        <v>165</v>
      </c>
      <c r="S12" s="381">
        <v>121</v>
      </c>
      <c r="T12" s="15"/>
      <c r="U12" s="15"/>
      <c r="V12" s="15"/>
      <c r="W12" s="15"/>
      <c r="X12" s="15"/>
      <c r="Y12" s="15"/>
    </row>
    <row r="13" spans="1:25" ht="26.1" customHeight="1">
      <c r="A13" s="174" t="s">
        <v>1251</v>
      </c>
      <c r="B13" s="381">
        <v>188</v>
      </c>
      <c r="C13" s="381">
        <v>104</v>
      </c>
      <c r="D13" s="381">
        <v>147</v>
      </c>
      <c r="E13" s="381">
        <v>94</v>
      </c>
      <c r="F13" s="381">
        <v>376</v>
      </c>
      <c r="G13" s="381">
        <v>578</v>
      </c>
      <c r="H13" s="381">
        <v>521</v>
      </c>
      <c r="I13" s="381">
        <v>80</v>
      </c>
      <c r="J13" s="381">
        <v>1713</v>
      </c>
      <c r="K13" s="381">
        <v>1975</v>
      </c>
      <c r="L13" s="381">
        <v>3327</v>
      </c>
      <c r="M13" s="381">
        <v>2356</v>
      </c>
      <c r="N13" s="381">
        <v>74</v>
      </c>
      <c r="O13" s="381">
        <v>50</v>
      </c>
      <c r="P13" s="381">
        <v>104</v>
      </c>
      <c r="Q13" s="381">
        <v>101</v>
      </c>
      <c r="R13" s="381">
        <v>190</v>
      </c>
      <c r="S13" s="381">
        <v>145</v>
      </c>
      <c r="T13" s="15"/>
      <c r="U13" s="15"/>
      <c r="V13" s="15"/>
      <c r="W13" s="15"/>
      <c r="X13" s="15"/>
      <c r="Y13" s="15"/>
    </row>
    <row r="14" spans="1:25" ht="26.1" customHeight="1">
      <c r="A14" s="174" t="s">
        <v>1377</v>
      </c>
      <c r="B14" s="381">
        <v>174</v>
      </c>
      <c r="C14" s="381">
        <v>91</v>
      </c>
      <c r="D14" s="381">
        <v>140</v>
      </c>
      <c r="E14" s="381">
        <v>97</v>
      </c>
      <c r="F14" s="381">
        <v>360</v>
      </c>
      <c r="G14" s="381">
        <v>465</v>
      </c>
      <c r="H14" s="381">
        <v>392</v>
      </c>
      <c r="I14" s="381">
        <v>49</v>
      </c>
      <c r="J14" s="381">
        <v>1731</v>
      </c>
      <c r="K14" s="381">
        <v>1913</v>
      </c>
      <c r="L14" s="381">
        <v>3110</v>
      </c>
      <c r="M14" s="381">
        <v>2167</v>
      </c>
      <c r="N14" s="381">
        <v>15</v>
      </c>
      <c r="O14" s="381">
        <v>10</v>
      </c>
      <c r="P14" s="381">
        <v>62</v>
      </c>
      <c r="Q14" s="381">
        <v>57</v>
      </c>
      <c r="R14" s="381">
        <v>145</v>
      </c>
      <c r="S14" s="381">
        <v>100</v>
      </c>
      <c r="T14" s="10"/>
      <c r="U14" s="15"/>
      <c r="V14" s="15"/>
      <c r="W14" s="15"/>
      <c r="X14" s="15"/>
      <c r="Y14" s="15"/>
    </row>
    <row r="15" spans="1:25" ht="26.1" customHeight="1">
      <c r="A15" s="174" t="s">
        <v>1253</v>
      </c>
      <c r="B15" s="383">
        <v>146</v>
      </c>
      <c r="C15" s="383">
        <v>85</v>
      </c>
      <c r="D15" s="383">
        <v>108</v>
      </c>
      <c r="E15" s="383">
        <v>85</v>
      </c>
      <c r="F15" s="383">
        <v>236</v>
      </c>
      <c r="G15" s="383">
        <v>316</v>
      </c>
      <c r="H15" s="383">
        <v>186</v>
      </c>
      <c r="I15" s="383">
        <v>24</v>
      </c>
      <c r="J15" s="383">
        <v>1660</v>
      </c>
      <c r="K15" s="383">
        <v>1835</v>
      </c>
      <c r="L15" s="383">
        <v>2472</v>
      </c>
      <c r="M15" s="383">
        <v>1713</v>
      </c>
      <c r="N15" s="383">
        <v>10</v>
      </c>
      <c r="O15" s="383">
        <v>9</v>
      </c>
      <c r="P15" s="383">
        <v>43</v>
      </c>
      <c r="Q15" s="383">
        <v>38</v>
      </c>
      <c r="R15" s="383">
        <v>104</v>
      </c>
      <c r="S15" s="383">
        <v>74</v>
      </c>
      <c r="T15" s="10"/>
      <c r="U15" s="15"/>
      <c r="V15" s="15"/>
      <c r="W15" s="15"/>
      <c r="X15" s="15"/>
      <c r="Y15" s="15"/>
    </row>
    <row r="16" spans="1:25" ht="26.1" customHeight="1">
      <c r="A16" s="174" t="s">
        <v>1378</v>
      </c>
      <c r="B16" s="383">
        <v>88</v>
      </c>
      <c r="C16" s="383">
        <v>46</v>
      </c>
      <c r="D16" s="383">
        <v>56</v>
      </c>
      <c r="E16" s="383">
        <v>46</v>
      </c>
      <c r="F16" s="383">
        <v>175</v>
      </c>
      <c r="G16" s="383">
        <v>253</v>
      </c>
      <c r="H16" s="383">
        <v>43</v>
      </c>
      <c r="I16" s="383">
        <v>6</v>
      </c>
      <c r="J16" s="383">
        <v>781</v>
      </c>
      <c r="K16" s="383">
        <v>1068</v>
      </c>
      <c r="L16" s="383">
        <v>1753</v>
      </c>
      <c r="M16" s="383">
        <v>1226</v>
      </c>
      <c r="N16" s="383">
        <v>5</v>
      </c>
      <c r="O16" s="383">
        <v>2</v>
      </c>
      <c r="P16" s="383">
        <v>11</v>
      </c>
      <c r="Q16" s="383">
        <v>15</v>
      </c>
      <c r="R16" s="383">
        <v>43</v>
      </c>
      <c r="S16" s="383">
        <v>36</v>
      </c>
      <c r="T16" s="15"/>
      <c r="U16" s="15"/>
      <c r="V16" s="15"/>
      <c r="W16" s="15"/>
      <c r="X16" s="15"/>
      <c r="Y16" s="15"/>
    </row>
    <row r="17" spans="1:25" ht="26.1" customHeight="1">
      <c r="A17" s="174" t="s">
        <v>1252</v>
      </c>
      <c r="B17" s="383">
        <v>24</v>
      </c>
      <c r="C17" s="383">
        <v>14</v>
      </c>
      <c r="D17" s="383">
        <v>20</v>
      </c>
      <c r="E17" s="383">
        <v>16</v>
      </c>
      <c r="F17" s="383">
        <v>72</v>
      </c>
      <c r="G17" s="383">
        <v>136</v>
      </c>
      <c r="H17" s="383">
        <v>16</v>
      </c>
      <c r="I17" s="383">
        <v>2</v>
      </c>
      <c r="J17" s="383">
        <v>235</v>
      </c>
      <c r="K17" s="383">
        <v>270</v>
      </c>
      <c r="L17" s="383">
        <v>413</v>
      </c>
      <c r="M17" s="383">
        <v>345</v>
      </c>
      <c r="N17" s="383">
        <v>0</v>
      </c>
      <c r="O17" s="383">
        <v>0</v>
      </c>
      <c r="P17" s="383">
        <v>4</v>
      </c>
      <c r="Q17" s="383">
        <v>4</v>
      </c>
      <c r="R17" s="383">
        <v>14</v>
      </c>
      <c r="S17" s="383">
        <v>9</v>
      </c>
      <c r="T17" s="15"/>
      <c r="U17" s="15"/>
      <c r="V17" s="15"/>
      <c r="W17" s="15"/>
      <c r="X17" s="15"/>
      <c r="Y17" s="15"/>
    </row>
    <row r="18" spans="1:25" ht="26.1" customHeight="1">
      <c r="A18" s="103" t="s">
        <v>1233</v>
      </c>
      <c r="B18" s="383">
        <f>SUM(B19:B31)</f>
        <v>11</v>
      </c>
      <c r="C18" s="383">
        <f t="shared" ref="C18:S18" si="0">SUM(C19:C31)</f>
        <v>6</v>
      </c>
      <c r="D18" s="383">
        <f t="shared" si="0"/>
        <v>6</v>
      </c>
      <c r="E18" s="383">
        <f t="shared" si="0"/>
        <v>4</v>
      </c>
      <c r="F18" s="383">
        <f t="shared" si="0"/>
        <v>12</v>
      </c>
      <c r="G18" s="383">
        <f t="shared" si="0"/>
        <v>17</v>
      </c>
      <c r="H18" s="383">
        <f t="shared" si="0"/>
        <v>10</v>
      </c>
      <c r="I18" s="383">
        <f t="shared" si="0"/>
        <v>0</v>
      </c>
      <c r="J18" s="383">
        <f t="shared" si="0"/>
        <v>81</v>
      </c>
      <c r="K18" s="383">
        <f t="shared" si="0"/>
        <v>99</v>
      </c>
      <c r="L18" s="383">
        <f t="shared" si="0"/>
        <v>151</v>
      </c>
      <c r="M18" s="383">
        <f t="shared" si="0"/>
        <v>120</v>
      </c>
      <c r="N18" s="383">
        <f t="shared" si="0"/>
        <v>0</v>
      </c>
      <c r="O18" s="383">
        <f t="shared" si="0"/>
        <v>0</v>
      </c>
      <c r="P18" s="383">
        <f t="shared" si="0"/>
        <v>2</v>
      </c>
      <c r="Q18" s="383">
        <f t="shared" si="0"/>
        <v>0</v>
      </c>
      <c r="R18" s="383">
        <f t="shared" si="0"/>
        <v>5</v>
      </c>
      <c r="S18" s="383">
        <f t="shared" si="0"/>
        <v>5</v>
      </c>
      <c r="T18" s="15"/>
      <c r="U18" s="15"/>
      <c r="V18" s="15"/>
      <c r="W18" s="15"/>
      <c r="X18" s="15"/>
      <c r="Y18" s="15"/>
    </row>
    <row r="19" spans="1:25" ht="26.1" customHeight="1">
      <c r="A19" s="172" t="s">
        <v>656</v>
      </c>
      <c r="B19" s="383">
        <v>2</v>
      </c>
      <c r="C19" s="383">
        <v>1</v>
      </c>
      <c r="D19" s="383">
        <v>1</v>
      </c>
      <c r="E19" s="383">
        <v>0</v>
      </c>
      <c r="F19" s="383">
        <v>4</v>
      </c>
      <c r="G19" s="383">
        <v>6</v>
      </c>
      <c r="H19" s="383">
        <v>2</v>
      </c>
      <c r="I19" s="383">
        <v>0</v>
      </c>
      <c r="J19" s="383">
        <v>9</v>
      </c>
      <c r="K19" s="383">
        <v>18</v>
      </c>
      <c r="L19" s="383">
        <v>32</v>
      </c>
      <c r="M19" s="383">
        <v>20</v>
      </c>
      <c r="N19" s="383">
        <v>0</v>
      </c>
      <c r="O19" s="385">
        <v>0</v>
      </c>
      <c r="P19" s="383">
        <v>0</v>
      </c>
      <c r="Q19" s="383">
        <v>0</v>
      </c>
      <c r="R19" s="383">
        <v>0</v>
      </c>
      <c r="S19" s="383">
        <v>1</v>
      </c>
      <c r="T19" s="10"/>
      <c r="U19" s="15"/>
      <c r="V19" s="15"/>
      <c r="W19" s="15"/>
      <c r="X19" s="15"/>
      <c r="Y19" s="15"/>
    </row>
    <row r="20" spans="1:25" ht="26.1" customHeight="1">
      <c r="A20" s="172" t="s">
        <v>657</v>
      </c>
      <c r="B20" s="383">
        <v>1</v>
      </c>
      <c r="C20" s="383">
        <v>1</v>
      </c>
      <c r="D20" s="383">
        <v>1</v>
      </c>
      <c r="E20" s="383">
        <v>0</v>
      </c>
      <c r="F20" s="383">
        <v>2</v>
      </c>
      <c r="G20" s="383">
        <v>3</v>
      </c>
      <c r="H20" s="383">
        <v>0</v>
      </c>
      <c r="I20" s="383">
        <v>0</v>
      </c>
      <c r="J20" s="383">
        <v>14</v>
      </c>
      <c r="K20" s="383">
        <v>21</v>
      </c>
      <c r="L20" s="383">
        <v>27</v>
      </c>
      <c r="M20" s="383">
        <v>26</v>
      </c>
      <c r="N20" s="383">
        <v>0</v>
      </c>
      <c r="O20" s="385">
        <v>0</v>
      </c>
      <c r="P20" s="383">
        <v>0</v>
      </c>
      <c r="Q20" s="383">
        <v>0</v>
      </c>
      <c r="R20" s="383">
        <v>1</v>
      </c>
      <c r="S20" s="383">
        <v>1</v>
      </c>
      <c r="T20" s="10"/>
      <c r="U20" s="15"/>
      <c r="V20" s="15"/>
      <c r="W20" s="15"/>
      <c r="X20" s="15"/>
      <c r="Y20" s="15"/>
    </row>
    <row r="21" spans="1:25" ht="26.1" customHeight="1">
      <c r="A21" s="172" t="s">
        <v>658</v>
      </c>
      <c r="B21" s="383">
        <v>0</v>
      </c>
      <c r="C21" s="383">
        <v>0</v>
      </c>
      <c r="D21" s="383">
        <v>0</v>
      </c>
      <c r="E21" s="383">
        <v>1</v>
      </c>
      <c r="F21" s="383">
        <v>1</v>
      </c>
      <c r="G21" s="383">
        <v>1</v>
      </c>
      <c r="H21" s="383">
        <v>1</v>
      </c>
      <c r="I21" s="390">
        <v>0</v>
      </c>
      <c r="J21" s="383">
        <v>5</v>
      </c>
      <c r="K21" s="383">
        <v>7</v>
      </c>
      <c r="L21" s="383">
        <v>14</v>
      </c>
      <c r="M21" s="383">
        <v>8</v>
      </c>
      <c r="N21" s="385">
        <v>0</v>
      </c>
      <c r="O21" s="385">
        <v>0</v>
      </c>
      <c r="P21" s="383">
        <v>0</v>
      </c>
      <c r="Q21" s="383">
        <v>0</v>
      </c>
      <c r="R21" s="383">
        <v>0</v>
      </c>
      <c r="S21" s="383">
        <v>0</v>
      </c>
      <c r="T21" s="10"/>
      <c r="U21" s="15"/>
      <c r="V21" s="15"/>
      <c r="W21" s="15"/>
      <c r="X21" s="15"/>
      <c r="Y21" s="15"/>
    </row>
    <row r="22" spans="1:25" ht="26.1" customHeight="1">
      <c r="A22" s="172" t="s">
        <v>1388</v>
      </c>
      <c r="B22" s="383">
        <v>1</v>
      </c>
      <c r="C22" s="383">
        <v>0</v>
      </c>
      <c r="D22" s="383">
        <v>0</v>
      </c>
      <c r="E22" s="383">
        <v>0</v>
      </c>
      <c r="F22" s="383">
        <v>0</v>
      </c>
      <c r="G22" s="383">
        <v>0</v>
      </c>
      <c r="H22" s="383">
        <v>1</v>
      </c>
      <c r="I22" s="383">
        <v>0</v>
      </c>
      <c r="J22" s="383">
        <v>12</v>
      </c>
      <c r="K22" s="383">
        <v>6</v>
      </c>
      <c r="L22" s="383">
        <v>3</v>
      </c>
      <c r="M22" s="383">
        <v>7</v>
      </c>
      <c r="N22" s="383">
        <v>0</v>
      </c>
      <c r="O22" s="385">
        <v>0</v>
      </c>
      <c r="P22" s="383">
        <v>0</v>
      </c>
      <c r="Q22" s="385">
        <v>0</v>
      </c>
      <c r="R22" s="383">
        <v>0</v>
      </c>
      <c r="S22" s="383">
        <v>2</v>
      </c>
      <c r="T22" s="10"/>
      <c r="U22" s="15"/>
      <c r="V22" s="15"/>
      <c r="W22" s="15"/>
      <c r="X22" s="15"/>
      <c r="Y22" s="15"/>
    </row>
    <row r="23" spans="1:25" ht="26.1" customHeight="1">
      <c r="A23" s="172" t="s">
        <v>1389</v>
      </c>
      <c r="B23" s="383">
        <v>1</v>
      </c>
      <c r="C23" s="383">
        <v>1</v>
      </c>
      <c r="D23" s="383">
        <v>1</v>
      </c>
      <c r="E23" s="383">
        <v>1</v>
      </c>
      <c r="F23" s="383">
        <v>1</v>
      </c>
      <c r="G23" s="383">
        <v>0</v>
      </c>
      <c r="H23" s="383">
        <v>1</v>
      </c>
      <c r="I23" s="385">
        <v>0</v>
      </c>
      <c r="J23" s="383">
        <v>6</v>
      </c>
      <c r="K23" s="383">
        <v>3</v>
      </c>
      <c r="L23" s="383">
        <v>11</v>
      </c>
      <c r="M23" s="383">
        <v>7</v>
      </c>
      <c r="N23" s="383">
        <v>0</v>
      </c>
      <c r="O23" s="385">
        <v>0</v>
      </c>
      <c r="P23" s="383">
        <v>0</v>
      </c>
      <c r="Q23" s="383">
        <v>0</v>
      </c>
      <c r="R23" s="383">
        <v>0</v>
      </c>
      <c r="S23" s="383">
        <v>0</v>
      </c>
      <c r="T23" s="10"/>
      <c r="U23" s="15"/>
      <c r="V23" s="15"/>
      <c r="W23" s="15"/>
      <c r="X23" s="15"/>
      <c r="Y23" s="15"/>
    </row>
    <row r="24" spans="1:25" ht="26.1" customHeight="1">
      <c r="A24" s="172" t="s">
        <v>661</v>
      </c>
      <c r="B24" s="383">
        <v>0</v>
      </c>
      <c r="C24" s="383">
        <v>0</v>
      </c>
      <c r="D24" s="383">
        <v>0</v>
      </c>
      <c r="E24" s="383">
        <v>0</v>
      </c>
      <c r="F24" s="383">
        <v>1</v>
      </c>
      <c r="G24" s="383">
        <v>2</v>
      </c>
      <c r="H24" s="383">
        <v>0</v>
      </c>
      <c r="I24" s="385">
        <v>0</v>
      </c>
      <c r="J24" s="383">
        <v>2</v>
      </c>
      <c r="K24" s="383">
        <v>4</v>
      </c>
      <c r="L24" s="383">
        <v>9</v>
      </c>
      <c r="M24" s="383">
        <v>8</v>
      </c>
      <c r="N24" s="385">
        <v>0</v>
      </c>
      <c r="O24" s="385">
        <v>0</v>
      </c>
      <c r="P24" s="385">
        <v>0</v>
      </c>
      <c r="Q24" s="385">
        <v>0</v>
      </c>
      <c r="R24" s="383">
        <v>1</v>
      </c>
      <c r="S24" s="383">
        <v>0</v>
      </c>
      <c r="T24" s="10"/>
      <c r="U24" s="15"/>
      <c r="V24" s="15"/>
      <c r="W24" s="15"/>
      <c r="X24" s="15"/>
      <c r="Y24" s="15"/>
    </row>
    <row r="25" spans="1:25" ht="26.1" customHeight="1">
      <c r="A25" s="172" t="s">
        <v>662</v>
      </c>
      <c r="B25" s="383">
        <v>2</v>
      </c>
      <c r="C25" s="383">
        <v>1</v>
      </c>
      <c r="D25" s="383">
        <v>0</v>
      </c>
      <c r="E25" s="383">
        <v>0</v>
      </c>
      <c r="F25" s="383">
        <v>1</v>
      </c>
      <c r="G25" s="383">
        <v>1</v>
      </c>
      <c r="H25" s="383">
        <v>0</v>
      </c>
      <c r="I25" s="383">
        <v>0</v>
      </c>
      <c r="J25" s="383">
        <v>5</v>
      </c>
      <c r="K25" s="383">
        <v>7</v>
      </c>
      <c r="L25" s="383">
        <v>8</v>
      </c>
      <c r="M25" s="383">
        <v>5</v>
      </c>
      <c r="N25" s="385">
        <v>0</v>
      </c>
      <c r="O25" s="383">
        <v>0</v>
      </c>
      <c r="P25" s="383">
        <v>2</v>
      </c>
      <c r="Q25" s="385">
        <v>0</v>
      </c>
      <c r="R25" s="383">
        <v>1</v>
      </c>
      <c r="S25" s="383">
        <v>0</v>
      </c>
      <c r="T25" s="10"/>
      <c r="U25" s="15"/>
      <c r="V25" s="15"/>
      <c r="W25" s="15"/>
      <c r="X25" s="15"/>
      <c r="Y25" s="15"/>
    </row>
    <row r="26" spans="1:25" ht="26.1" customHeight="1">
      <c r="A26" s="172" t="s">
        <v>663</v>
      </c>
      <c r="B26" s="383">
        <v>2</v>
      </c>
      <c r="C26" s="383">
        <v>1</v>
      </c>
      <c r="D26" s="383">
        <v>0</v>
      </c>
      <c r="E26" s="383">
        <v>0</v>
      </c>
      <c r="F26" s="383">
        <v>0</v>
      </c>
      <c r="G26" s="383">
        <v>1</v>
      </c>
      <c r="H26" s="383">
        <v>2</v>
      </c>
      <c r="I26" s="385">
        <v>0</v>
      </c>
      <c r="J26" s="383">
        <v>7</v>
      </c>
      <c r="K26" s="383">
        <v>7</v>
      </c>
      <c r="L26" s="383">
        <v>14</v>
      </c>
      <c r="M26" s="383">
        <v>14</v>
      </c>
      <c r="N26" s="385">
        <v>0</v>
      </c>
      <c r="O26" s="383">
        <v>0</v>
      </c>
      <c r="P26" s="383">
        <v>0</v>
      </c>
      <c r="Q26" s="385">
        <v>0</v>
      </c>
      <c r="R26" s="383">
        <v>0</v>
      </c>
      <c r="S26" s="383">
        <v>0</v>
      </c>
      <c r="T26" s="10"/>
      <c r="U26" s="15"/>
      <c r="V26" s="15"/>
      <c r="W26" s="15"/>
      <c r="X26" s="15"/>
      <c r="Y26" s="15"/>
    </row>
    <row r="27" spans="1:25" ht="26.1" customHeight="1">
      <c r="A27" s="172" t="s">
        <v>1390</v>
      </c>
      <c r="B27" s="383">
        <v>0</v>
      </c>
      <c r="C27" s="383">
        <v>0</v>
      </c>
      <c r="D27" s="383">
        <v>1</v>
      </c>
      <c r="E27" s="383">
        <v>0</v>
      </c>
      <c r="F27" s="383">
        <v>1</v>
      </c>
      <c r="G27" s="383">
        <v>0</v>
      </c>
      <c r="H27" s="383">
        <v>1</v>
      </c>
      <c r="I27" s="385">
        <v>0</v>
      </c>
      <c r="J27" s="383">
        <v>5</v>
      </c>
      <c r="K27" s="383">
        <v>5</v>
      </c>
      <c r="L27" s="383">
        <v>8</v>
      </c>
      <c r="M27" s="383">
        <v>6</v>
      </c>
      <c r="N27" s="385">
        <v>0</v>
      </c>
      <c r="O27" s="385">
        <v>0</v>
      </c>
      <c r="P27" s="385">
        <v>0</v>
      </c>
      <c r="Q27" s="385">
        <v>0</v>
      </c>
      <c r="R27" s="383">
        <v>0</v>
      </c>
      <c r="S27" s="383">
        <v>0</v>
      </c>
      <c r="T27" s="10"/>
      <c r="U27" s="15"/>
      <c r="V27" s="15"/>
      <c r="W27" s="15"/>
      <c r="X27" s="15"/>
      <c r="Y27" s="15"/>
    </row>
    <row r="28" spans="1:25" ht="26.1" customHeight="1">
      <c r="A28" s="172" t="s">
        <v>665</v>
      </c>
      <c r="B28" s="383">
        <v>0</v>
      </c>
      <c r="C28" s="383">
        <v>1</v>
      </c>
      <c r="D28" s="383">
        <v>1</v>
      </c>
      <c r="E28" s="383">
        <v>1</v>
      </c>
      <c r="F28" s="383">
        <v>0</v>
      </c>
      <c r="G28" s="383">
        <v>2</v>
      </c>
      <c r="H28" s="383">
        <v>1</v>
      </c>
      <c r="I28" s="385">
        <v>0</v>
      </c>
      <c r="J28" s="383">
        <v>8</v>
      </c>
      <c r="K28" s="383">
        <v>12</v>
      </c>
      <c r="L28" s="383">
        <v>11</v>
      </c>
      <c r="M28" s="383">
        <v>10</v>
      </c>
      <c r="N28" s="385">
        <v>0</v>
      </c>
      <c r="O28" s="385">
        <v>0</v>
      </c>
      <c r="P28" s="385">
        <v>0</v>
      </c>
      <c r="Q28" s="385">
        <v>0</v>
      </c>
      <c r="R28" s="383">
        <v>1</v>
      </c>
      <c r="S28" s="383">
        <v>1</v>
      </c>
      <c r="T28" s="10"/>
      <c r="U28" s="15"/>
      <c r="V28" s="15"/>
      <c r="W28" s="15"/>
      <c r="X28" s="15"/>
      <c r="Y28" s="15"/>
    </row>
    <row r="29" spans="1:25" ht="26.1" customHeight="1">
      <c r="A29" s="172" t="s">
        <v>1391</v>
      </c>
      <c r="B29" s="383">
        <v>2</v>
      </c>
      <c r="C29" s="383">
        <v>0</v>
      </c>
      <c r="D29" s="383">
        <v>0</v>
      </c>
      <c r="E29" s="383">
        <v>0</v>
      </c>
      <c r="F29" s="383">
        <v>0</v>
      </c>
      <c r="G29" s="383">
        <v>0</v>
      </c>
      <c r="H29" s="385">
        <v>0</v>
      </c>
      <c r="I29" s="385">
        <v>0</v>
      </c>
      <c r="J29" s="383">
        <v>4</v>
      </c>
      <c r="K29" s="383">
        <v>3</v>
      </c>
      <c r="L29" s="383">
        <v>4</v>
      </c>
      <c r="M29" s="383">
        <v>3</v>
      </c>
      <c r="N29" s="385">
        <v>0</v>
      </c>
      <c r="O29" s="385">
        <v>0</v>
      </c>
      <c r="P29" s="385">
        <v>0</v>
      </c>
      <c r="Q29" s="385">
        <v>0</v>
      </c>
      <c r="R29" s="383">
        <v>1</v>
      </c>
      <c r="S29" s="383">
        <v>0</v>
      </c>
      <c r="T29" s="10"/>
      <c r="U29" s="15"/>
      <c r="V29" s="15"/>
      <c r="W29" s="15"/>
      <c r="X29" s="15"/>
      <c r="Y29" s="15"/>
    </row>
    <row r="30" spans="1:25" ht="26.1" customHeight="1">
      <c r="A30" s="172" t="s">
        <v>667</v>
      </c>
      <c r="B30" s="385">
        <v>0</v>
      </c>
      <c r="C30" s="383">
        <v>0</v>
      </c>
      <c r="D30" s="383">
        <v>1</v>
      </c>
      <c r="E30" s="383">
        <v>0</v>
      </c>
      <c r="F30" s="383">
        <v>1</v>
      </c>
      <c r="G30" s="383">
        <v>0</v>
      </c>
      <c r="H30" s="383">
        <v>1</v>
      </c>
      <c r="I30" s="385">
        <v>0</v>
      </c>
      <c r="J30" s="383">
        <v>4</v>
      </c>
      <c r="K30" s="383">
        <v>4</v>
      </c>
      <c r="L30" s="383">
        <v>9</v>
      </c>
      <c r="M30" s="383">
        <v>3</v>
      </c>
      <c r="N30" s="385">
        <v>0</v>
      </c>
      <c r="O30" s="385">
        <v>0</v>
      </c>
      <c r="P30" s="385">
        <v>0</v>
      </c>
      <c r="Q30" s="383">
        <v>0</v>
      </c>
      <c r="R30" s="383">
        <v>0</v>
      </c>
      <c r="S30" s="383">
        <v>0</v>
      </c>
      <c r="T30" s="10"/>
      <c r="U30" s="15"/>
      <c r="V30" s="15"/>
      <c r="W30" s="15"/>
      <c r="X30" s="15"/>
      <c r="Y30" s="15"/>
    </row>
    <row r="31" spans="1:25" ht="26.1" customHeight="1" thickBot="1">
      <c r="A31" s="173" t="s">
        <v>668</v>
      </c>
      <c r="B31" s="391">
        <v>0</v>
      </c>
      <c r="C31" s="391">
        <v>0</v>
      </c>
      <c r="D31" s="391">
        <v>0</v>
      </c>
      <c r="E31" s="386">
        <v>1</v>
      </c>
      <c r="F31" s="386">
        <v>0</v>
      </c>
      <c r="G31" s="386">
        <v>1</v>
      </c>
      <c r="H31" s="391">
        <v>0</v>
      </c>
      <c r="I31" s="391">
        <v>0</v>
      </c>
      <c r="J31" s="386">
        <v>0</v>
      </c>
      <c r="K31" s="386">
        <v>2</v>
      </c>
      <c r="L31" s="386">
        <v>1</v>
      </c>
      <c r="M31" s="386">
        <v>3</v>
      </c>
      <c r="N31" s="391">
        <v>0</v>
      </c>
      <c r="O31" s="391">
        <v>0</v>
      </c>
      <c r="P31" s="391">
        <v>0</v>
      </c>
      <c r="Q31" s="386">
        <v>0</v>
      </c>
      <c r="R31" s="386">
        <v>0</v>
      </c>
      <c r="S31" s="386">
        <v>0</v>
      </c>
      <c r="T31" s="10"/>
      <c r="U31" s="15"/>
      <c r="V31" s="15"/>
      <c r="W31" s="15"/>
      <c r="X31" s="15"/>
      <c r="Y31" s="15"/>
    </row>
    <row r="32" spans="1:25" ht="15" customHeight="1">
      <c r="A32" s="158"/>
      <c r="B32" s="392"/>
      <c r="C32" s="392"/>
      <c r="D32" s="392"/>
      <c r="E32" s="392"/>
      <c r="F32" s="392"/>
      <c r="G32" s="392"/>
      <c r="H32" s="392"/>
      <c r="I32" s="392"/>
      <c r="J32" s="392"/>
      <c r="K32" s="392"/>
      <c r="L32" s="392"/>
      <c r="M32" s="392"/>
      <c r="N32" s="392"/>
      <c r="O32" s="392"/>
      <c r="P32" s="392"/>
      <c r="Q32" s="392"/>
      <c r="R32" s="392"/>
      <c r="S32" s="392"/>
      <c r="T32" s="15"/>
      <c r="U32" s="15"/>
      <c r="V32" s="15"/>
      <c r="W32" s="15"/>
      <c r="X32" s="15"/>
      <c r="Y32" s="15"/>
    </row>
    <row r="33" spans="2:25">
      <c r="B33" s="15"/>
      <c r="C33" s="15"/>
      <c r="D33" s="15"/>
      <c r="E33" s="15"/>
      <c r="F33" s="15"/>
      <c r="G33" s="15"/>
      <c r="H33" s="15"/>
      <c r="I33" s="15"/>
      <c r="J33" s="15"/>
      <c r="K33" s="15"/>
      <c r="L33" s="15"/>
      <c r="M33" s="15"/>
      <c r="N33" s="15"/>
      <c r="O33" s="15"/>
      <c r="P33" s="15"/>
      <c r="Q33" s="15"/>
      <c r="R33" s="15"/>
      <c r="S33" s="15"/>
      <c r="T33" s="15"/>
      <c r="U33" s="15"/>
      <c r="V33" s="15"/>
      <c r="W33" s="15"/>
      <c r="X33" s="15"/>
      <c r="Y33" s="15"/>
    </row>
    <row r="34" spans="2:25">
      <c r="B34" s="15"/>
      <c r="C34" s="15"/>
      <c r="D34" s="15"/>
      <c r="E34" s="15"/>
      <c r="F34" s="15"/>
      <c r="G34" s="15"/>
      <c r="H34" s="15"/>
      <c r="I34" s="15"/>
      <c r="J34" s="15"/>
      <c r="K34" s="15"/>
      <c r="L34" s="15"/>
      <c r="M34" s="15"/>
      <c r="N34" s="15"/>
      <c r="O34" s="15"/>
      <c r="P34" s="15"/>
      <c r="Q34" s="15"/>
      <c r="R34" s="15"/>
      <c r="S34" s="15"/>
      <c r="T34" s="15"/>
      <c r="U34" s="15"/>
      <c r="V34" s="15"/>
      <c r="W34" s="15"/>
      <c r="X34" s="15"/>
      <c r="Y34" s="15"/>
    </row>
    <row r="35" spans="2:25">
      <c r="B35" s="15"/>
      <c r="C35" s="15"/>
      <c r="D35" s="15"/>
      <c r="E35" s="15"/>
      <c r="F35" s="15"/>
      <c r="G35" s="15"/>
      <c r="H35" s="15"/>
      <c r="I35" s="15"/>
      <c r="J35" s="15"/>
      <c r="K35" s="15"/>
      <c r="L35" s="15"/>
      <c r="M35" s="15"/>
      <c r="N35" s="15"/>
      <c r="O35" s="15"/>
      <c r="P35" s="15"/>
      <c r="Q35" s="15"/>
      <c r="R35" s="15"/>
      <c r="S35" s="15"/>
      <c r="T35" s="15"/>
      <c r="U35" s="15"/>
      <c r="V35" s="15"/>
      <c r="W35" s="15"/>
      <c r="X35" s="15"/>
      <c r="Y35" s="15"/>
    </row>
  </sheetData>
  <mergeCells count="24">
    <mergeCell ref="J6:K6"/>
    <mergeCell ref="L6:M6"/>
    <mergeCell ref="N6:O6"/>
    <mergeCell ref="P6:Q6"/>
    <mergeCell ref="R6:S6"/>
    <mergeCell ref="A6:A8"/>
    <mergeCell ref="B6:C6"/>
    <mergeCell ref="D6:E6"/>
    <mergeCell ref="F6:G6"/>
    <mergeCell ref="H6:I6"/>
    <mergeCell ref="A2:I2"/>
    <mergeCell ref="J2:S2"/>
    <mergeCell ref="A4:A5"/>
    <mergeCell ref="B4:I4"/>
    <mergeCell ref="J4:S4"/>
    <mergeCell ref="B5:C5"/>
    <mergeCell ref="D5:E5"/>
    <mergeCell ref="F5:G5"/>
    <mergeCell ref="H5:I5"/>
    <mergeCell ref="J5:K5"/>
    <mergeCell ref="L5:M5"/>
    <mergeCell ref="N5:O5"/>
    <mergeCell ref="P5:Q5"/>
    <mergeCell ref="R5:S5"/>
  </mergeCells>
  <phoneticPr fontId="6" type="noConversion"/>
  <printOptions horizontalCentered="1"/>
  <pageMargins left="0.6692913385826772" right="0.6692913385826772" top="0.6692913385826772" bottom="0.6692913385826772" header="0.27559055118110237" footer="0.27559055118110237"/>
  <pageSetup paperSize="9" firstPageNumber="352" orientation="portrait" useFirstPageNumber="1"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工作表10"/>
  <dimension ref="A1:AE45"/>
  <sheetViews>
    <sheetView showGridLines="0" view="pageBreakPreview" zoomScale="90" zoomScaleNormal="85" zoomScaleSheetLayoutView="90" workbookViewId="0">
      <pane xSplit="1" ySplit="8" topLeftCell="B21" activePane="bottomRight" state="frozen"/>
      <selection activeCell="H15" sqref="H15"/>
      <selection pane="topRight" activeCell="H15" sqref="H15"/>
      <selection pane="bottomLeft" activeCell="H15" sqref="H15"/>
      <selection pane="bottomRight" activeCell="AI22" sqref="AI22"/>
    </sheetView>
  </sheetViews>
  <sheetFormatPr defaultRowHeight="12.75"/>
  <cols>
    <col min="1" max="1" width="19" style="551" customWidth="1"/>
    <col min="2" max="4" width="5.875" style="8" customWidth="1"/>
    <col min="5" max="10" width="6.125" style="8" customWidth="1"/>
    <col min="11" max="12" width="6.625" style="8" customWidth="1"/>
    <col min="13" max="16" width="6.375" style="8" customWidth="1"/>
    <col min="17" max="18" width="7.125" style="8" customWidth="1"/>
    <col min="19" max="22" width="6.125" style="8" customWidth="1"/>
    <col min="23" max="24" width="5.875" style="8" customWidth="1"/>
    <col min="25" max="25" width="8.625" style="8" customWidth="1"/>
    <col min="26" max="26" width="9" style="8"/>
    <col min="27" max="27" width="14.75" style="8" hidden="1" customWidth="1"/>
    <col min="28" max="31" width="9" style="8" hidden="1" customWidth="1"/>
    <col min="32" max="32" width="0" style="8" hidden="1" customWidth="1"/>
    <col min="33" max="16384" width="9" style="8"/>
  </cols>
  <sheetData>
    <row r="1" spans="1:31" s="551" customFormat="1" ht="18" customHeight="1">
      <c r="A1" s="90" t="s">
        <v>934</v>
      </c>
      <c r="B1" s="90"/>
      <c r="C1" s="90"/>
      <c r="D1" s="90"/>
      <c r="E1" s="90"/>
      <c r="P1" s="97"/>
      <c r="Q1" s="97"/>
      <c r="R1" s="97"/>
      <c r="S1" s="97"/>
      <c r="T1" s="97"/>
      <c r="U1" s="97"/>
      <c r="V1" s="97"/>
      <c r="W1" s="97"/>
      <c r="X1" s="97"/>
      <c r="Y1" s="559" t="s">
        <v>175</v>
      </c>
    </row>
    <row r="2" spans="1:31" s="551" customFormat="1" ht="24.95" customHeight="1">
      <c r="A2" s="716" t="s">
        <v>1022</v>
      </c>
      <c r="B2" s="716"/>
      <c r="C2" s="716"/>
      <c r="D2" s="716"/>
      <c r="E2" s="716"/>
      <c r="F2" s="716"/>
      <c r="G2" s="716"/>
      <c r="H2" s="716"/>
      <c r="I2" s="717"/>
      <c r="J2" s="717"/>
      <c r="K2" s="717"/>
      <c r="L2" s="717"/>
      <c r="M2" s="716" t="s">
        <v>176</v>
      </c>
      <c r="N2" s="716"/>
      <c r="O2" s="716"/>
      <c r="P2" s="716"/>
      <c r="Q2" s="716"/>
      <c r="R2" s="716"/>
      <c r="S2" s="716"/>
      <c r="T2" s="716"/>
      <c r="U2" s="716"/>
      <c r="V2" s="716"/>
      <c r="W2" s="716"/>
      <c r="X2" s="716"/>
      <c r="Y2" s="716"/>
      <c r="Z2" s="97"/>
      <c r="AA2" s="97"/>
      <c r="AB2" s="97"/>
      <c r="AC2" s="97"/>
      <c r="AD2" s="97"/>
      <c r="AE2" s="97"/>
    </row>
    <row r="3" spans="1:31" s="551" customFormat="1" ht="15" customHeight="1" thickBot="1">
      <c r="A3" s="560"/>
      <c r="B3" s="560"/>
      <c r="C3" s="560"/>
      <c r="D3" s="560"/>
      <c r="E3" s="560"/>
      <c r="F3" s="560"/>
      <c r="G3" s="560"/>
      <c r="H3" s="560"/>
      <c r="I3" s="560"/>
      <c r="J3" s="560"/>
      <c r="K3" s="560"/>
      <c r="L3" s="561" t="s">
        <v>1392</v>
      </c>
      <c r="M3" s="560"/>
      <c r="N3" s="560"/>
      <c r="O3" s="101"/>
      <c r="P3" s="101"/>
      <c r="Q3" s="101"/>
      <c r="R3" s="101"/>
      <c r="S3" s="101"/>
      <c r="T3" s="101"/>
      <c r="U3" s="101"/>
      <c r="V3" s="101"/>
      <c r="W3" s="101"/>
      <c r="X3" s="101"/>
      <c r="Y3" s="561" t="s">
        <v>177</v>
      </c>
    </row>
    <row r="4" spans="1:31" s="551" customFormat="1" ht="18" customHeight="1">
      <c r="A4" s="718" t="s">
        <v>652</v>
      </c>
      <c r="B4" s="720" t="s">
        <v>1393</v>
      </c>
      <c r="C4" s="721"/>
      <c r="D4" s="721"/>
      <c r="E4" s="721"/>
      <c r="F4" s="721"/>
      <c r="G4" s="721"/>
      <c r="H4" s="721"/>
      <c r="I4" s="721"/>
      <c r="J4" s="721"/>
      <c r="K4" s="721"/>
      <c r="L4" s="721"/>
      <c r="M4" s="721" t="s">
        <v>178</v>
      </c>
      <c r="N4" s="721"/>
      <c r="O4" s="721"/>
      <c r="P4" s="721"/>
      <c r="Q4" s="721"/>
      <c r="R4" s="721"/>
      <c r="S4" s="721"/>
      <c r="T4" s="721"/>
      <c r="U4" s="721"/>
      <c r="V4" s="721"/>
      <c r="W4" s="721"/>
      <c r="X4" s="722"/>
      <c r="Y4" s="735" t="s">
        <v>1394</v>
      </c>
    </row>
    <row r="5" spans="1:31" s="551" customFormat="1" ht="50.45" customHeight="1">
      <c r="A5" s="719"/>
      <c r="B5" s="737" t="s">
        <v>1395</v>
      </c>
      <c r="C5" s="738"/>
      <c r="D5" s="725"/>
      <c r="E5" s="723" t="s">
        <v>1396</v>
      </c>
      <c r="F5" s="723"/>
      <c r="G5" s="723" t="s">
        <v>653</v>
      </c>
      <c r="H5" s="723"/>
      <c r="I5" s="723" t="s">
        <v>1397</v>
      </c>
      <c r="J5" s="723"/>
      <c r="K5" s="747" t="s">
        <v>1398</v>
      </c>
      <c r="L5" s="747"/>
      <c r="M5" s="748" t="s">
        <v>1399</v>
      </c>
      <c r="N5" s="747"/>
      <c r="O5" s="747" t="s">
        <v>1400</v>
      </c>
      <c r="P5" s="747"/>
      <c r="Q5" s="723" t="s">
        <v>1401</v>
      </c>
      <c r="R5" s="723"/>
      <c r="S5" s="723" t="s">
        <v>654</v>
      </c>
      <c r="T5" s="723"/>
      <c r="U5" s="739" t="s">
        <v>1402</v>
      </c>
      <c r="V5" s="725"/>
      <c r="W5" s="739" t="s">
        <v>655</v>
      </c>
      <c r="X5" s="738"/>
      <c r="Y5" s="736"/>
      <c r="Z5" s="101"/>
    </row>
    <row r="6" spans="1:31" s="551" customFormat="1" ht="89.1" customHeight="1">
      <c r="A6" s="552" t="s">
        <v>179</v>
      </c>
      <c r="B6" s="740" t="s">
        <v>180</v>
      </c>
      <c r="C6" s="741"/>
      <c r="D6" s="742"/>
      <c r="E6" s="743" t="s">
        <v>181</v>
      </c>
      <c r="F6" s="744"/>
      <c r="G6" s="743" t="s">
        <v>182</v>
      </c>
      <c r="H6" s="744"/>
      <c r="I6" s="743" t="s">
        <v>183</v>
      </c>
      <c r="J6" s="744"/>
      <c r="K6" s="745" t="s">
        <v>184</v>
      </c>
      <c r="L6" s="746"/>
      <c r="M6" s="749" t="s">
        <v>185</v>
      </c>
      <c r="N6" s="750"/>
      <c r="O6" s="743" t="s">
        <v>186</v>
      </c>
      <c r="P6" s="744"/>
      <c r="Q6" s="743" t="s">
        <v>187</v>
      </c>
      <c r="R6" s="744"/>
      <c r="S6" s="743" t="s">
        <v>188</v>
      </c>
      <c r="T6" s="744"/>
      <c r="U6" s="732" t="s">
        <v>189</v>
      </c>
      <c r="V6" s="732"/>
      <c r="W6" s="732" t="s">
        <v>190</v>
      </c>
      <c r="X6" s="732"/>
      <c r="Y6" s="733" t="s">
        <v>191</v>
      </c>
    </row>
    <row r="7" spans="1:31" s="551" customFormat="1" ht="17.100000000000001" customHeight="1">
      <c r="A7" s="170"/>
      <c r="B7" s="563" t="s">
        <v>1403</v>
      </c>
      <c r="C7" s="553" t="s">
        <v>1404</v>
      </c>
      <c r="D7" s="553" t="s">
        <v>1405</v>
      </c>
      <c r="E7" s="553" t="s">
        <v>1406</v>
      </c>
      <c r="F7" s="553" t="s">
        <v>1407</v>
      </c>
      <c r="G7" s="553" t="s">
        <v>1406</v>
      </c>
      <c r="H7" s="553" t="s">
        <v>1408</v>
      </c>
      <c r="I7" s="553" t="s">
        <v>1406</v>
      </c>
      <c r="J7" s="553" t="s">
        <v>1407</v>
      </c>
      <c r="K7" s="553" t="s">
        <v>1406</v>
      </c>
      <c r="L7" s="553" t="s">
        <v>1408</v>
      </c>
      <c r="M7" s="554" t="s">
        <v>464</v>
      </c>
      <c r="N7" s="553" t="s">
        <v>465</v>
      </c>
      <c r="O7" s="553" t="s">
        <v>1406</v>
      </c>
      <c r="P7" s="553" t="s">
        <v>1408</v>
      </c>
      <c r="Q7" s="553" t="s">
        <v>1406</v>
      </c>
      <c r="R7" s="553" t="s">
        <v>1409</v>
      </c>
      <c r="S7" s="553" t="s">
        <v>464</v>
      </c>
      <c r="T7" s="553" t="s">
        <v>1408</v>
      </c>
      <c r="U7" s="553" t="s">
        <v>1410</v>
      </c>
      <c r="V7" s="553" t="s">
        <v>465</v>
      </c>
      <c r="W7" s="553" t="s">
        <v>464</v>
      </c>
      <c r="X7" s="553" t="s">
        <v>465</v>
      </c>
      <c r="Y7" s="733"/>
    </row>
    <row r="8" spans="1:31" s="96" customFormat="1" ht="17.100000000000001" customHeight="1" thickBot="1">
      <c r="A8" s="171"/>
      <c r="B8" s="557" t="s">
        <v>423</v>
      </c>
      <c r="C8" s="556" t="s">
        <v>192</v>
      </c>
      <c r="D8" s="556" t="s">
        <v>193</v>
      </c>
      <c r="E8" s="556" t="s">
        <v>158</v>
      </c>
      <c r="F8" s="556" t="s">
        <v>159</v>
      </c>
      <c r="G8" s="556" t="s">
        <v>158</v>
      </c>
      <c r="H8" s="556" t="s">
        <v>159</v>
      </c>
      <c r="I8" s="556" t="s">
        <v>158</v>
      </c>
      <c r="J8" s="556" t="s">
        <v>159</v>
      </c>
      <c r="K8" s="556" t="s">
        <v>158</v>
      </c>
      <c r="L8" s="556" t="s">
        <v>159</v>
      </c>
      <c r="M8" s="558" t="s">
        <v>158</v>
      </c>
      <c r="N8" s="556" t="s">
        <v>159</v>
      </c>
      <c r="O8" s="556" t="s">
        <v>158</v>
      </c>
      <c r="P8" s="556" t="s">
        <v>159</v>
      </c>
      <c r="Q8" s="556" t="s">
        <v>158</v>
      </c>
      <c r="R8" s="556" t="s">
        <v>159</v>
      </c>
      <c r="S8" s="556" t="s">
        <v>158</v>
      </c>
      <c r="T8" s="556" t="s">
        <v>159</v>
      </c>
      <c r="U8" s="556" t="s">
        <v>158</v>
      </c>
      <c r="V8" s="556" t="s">
        <v>159</v>
      </c>
      <c r="W8" s="556" t="s">
        <v>158</v>
      </c>
      <c r="X8" s="556" t="s">
        <v>159</v>
      </c>
      <c r="Y8" s="734"/>
      <c r="Z8" s="555"/>
    </row>
    <row r="9" spans="1:31" ht="22.5" customHeight="1">
      <c r="A9" s="174" t="s">
        <v>507</v>
      </c>
      <c r="B9" s="247">
        <v>0</v>
      </c>
      <c r="C9" s="247">
        <v>0</v>
      </c>
      <c r="D9" s="247">
        <v>0</v>
      </c>
      <c r="E9" s="247">
        <v>0</v>
      </c>
      <c r="F9" s="247">
        <v>0</v>
      </c>
      <c r="G9" s="247">
        <v>0</v>
      </c>
      <c r="H9" s="247">
        <v>0</v>
      </c>
      <c r="I9" s="247">
        <v>0</v>
      </c>
      <c r="J9" s="247">
        <v>0</v>
      </c>
      <c r="K9" s="247">
        <v>0</v>
      </c>
      <c r="L9" s="247">
        <v>0</v>
      </c>
      <c r="M9" s="247">
        <v>0</v>
      </c>
      <c r="N9" s="247">
        <v>0</v>
      </c>
      <c r="O9" s="247">
        <v>0</v>
      </c>
      <c r="P9" s="247">
        <v>0</v>
      </c>
      <c r="Q9" s="247">
        <v>0</v>
      </c>
      <c r="R9" s="247">
        <v>0</v>
      </c>
      <c r="S9" s="247">
        <v>0</v>
      </c>
      <c r="T9" s="247">
        <v>0</v>
      </c>
      <c r="U9" s="247">
        <v>0</v>
      </c>
      <c r="V9" s="247">
        <v>0</v>
      </c>
      <c r="W9" s="247">
        <v>0</v>
      </c>
      <c r="X9" s="247">
        <v>0</v>
      </c>
      <c r="Y9" s="380">
        <f>('11-6'!B9)/AA9*100</f>
        <v>3.5564301676485841</v>
      </c>
      <c r="AA9" s="8">
        <v>1978782</v>
      </c>
      <c r="AC9" s="8">
        <v>70374</v>
      </c>
      <c r="AD9" s="248">
        <f>AC9/AA9*100</f>
        <v>3.5564301676485841</v>
      </c>
      <c r="AE9" s="8">
        <f t="shared" ref="AE9:AE17" si="0">IF(Y9=AD9,1)</f>
        <v>1</v>
      </c>
    </row>
    <row r="10" spans="1:31" ht="22.5" customHeight="1">
      <c r="A10" s="174" t="s">
        <v>1374</v>
      </c>
      <c r="B10" s="247">
        <v>0</v>
      </c>
      <c r="C10" s="247">
        <v>0</v>
      </c>
      <c r="D10" s="247">
        <v>0</v>
      </c>
      <c r="E10" s="247">
        <v>0</v>
      </c>
      <c r="F10" s="247">
        <v>0</v>
      </c>
      <c r="G10" s="247">
        <v>0</v>
      </c>
      <c r="H10" s="247">
        <v>0</v>
      </c>
      <c r="I10" s="247">
        <v>0</v>
      </c>
      <c r="J10" s="247">
        <v>0</v>
      </c>
      <c r="K10" s="247">
        <v>0</v>
      </c>
      <c r="L10" s="247">
        <v>0</v>
      </c>
      <c r="M10" s="247">
        <v>0</v>
      </c>
      <c r="N10" s="247">
        <v>0</v>
      </c>
      <c r="O10" s="247">
        <v>0</v>
      </c>
      <c r="P10" s="247">
        <v>0</v>
      </c>
      <c r="Q10" s="247">
        <v>0</v>
      </c>
      <c r="R10" s="247">
        <v>0</v>
      </c>
      <c r="S10" s="247">
        <v>0</v>
      </c>
      <c r="T10" s="247">
        <v>0</v>
      </c>
      <c r="U10" s="247">
        <v>0</v>
      </c>
      <c r="V10" s="247">
        <v>0</v>
      </c>
      <c r="W10" s="247">
        <v>0</v>
      </c>
      <c r="X10" s="247">
        <v>0</v>
      </c>
      <c r="Y10" s="380">
        <f>('11-6'!B10)/AA10*100</f>
        <v>3.6497907155629701</v>
      </c>
      <c r="AA10" s="8">
        <v>2002060</v>
      </c>
      <c r="AC10" s="8">
        <v>73071</v>
      </c>
      <c r="AD10" s="248">
        <f t="shared" ref="AD10:AD31" si="1">AC10/AA10*100</f>
        <v>3.6497907155629701</v>
      </c>
      <c r="AE10" s="8">
        <f t="shared" si="0"/>
        <v>1</v>
      </c>
    </row>
    <row r="11" spans="1:31" ht="22.5" customHeight="1">
      <c r="A11" s="174" t="s">
        <v>1375</v>
      </c>
      <c r="B11" s="247">
        <v>0</v>
      </c>
      <c r="C11" s="247">
        <v>0</v>
      </c>
      <c r="D11" s="247">
        <v>0</v>
      </c>
      <c r="E11" s="247">
        <v>0</v>
      </c>
      <c r="F11" s="247">
        <v>0</v>
      </c>
      <c r="G11" s="247">
        <v>0</v>
      </c>
      <c r="H11" s="247">
        <v>0</v>
      </c>
      <c r="I11" s="247">
        <v>0</v>
      </c>
      <c r="J11" s="247">
        <v>0</v>
      </c>
      <c r="K11" s="247">
        <v>0</v>
      </c>
      <c r="L11" s="247">
        <v>0</v>
      </c>
      <c r="M11" s="247">
        <v>0</v>
      </c>
      <c r="N11" s="247">
        <v>0</v>
      </c>
      <c r="O11" s="247">
        <v>0</v>
      </c>
      <c r="P11" s="247">
        <v>0</v>
      </c>
      <c r="Q11" s="247">
        <v>0</v>
      </c>
      <c r="R11" s="247">
        <v>0</v>
      </c>
      <c r="S11" s="247">
        <v>0</v>
      </c>
      <c r="T11" s="247">
        <v>0</v>
      </c>
      <c r="U11" s="247">
        <v>0</v>
      </c>
      <c r="V11" s="247">
        <v>0</v>
      </c>
      <c r="W11" s="247">
        <v>0</v>
      </c>
      <c r="X11" s="247">
        <v>0</v>
      </c>
      <c r="Y11" s="380">
        <f>('11-6'!B11)/AA11*100</f>
        <v>3.7783644306252655</v>
      </c>
      <c r="AA11" s="8">
        <v>2013305</v>
      </c>
      <c r="AC11" s="8">
        <v>76070</v>
      </c>
      <c r="AD11" s="248">
        <f t="shared" si="1"/>
        <v>3.7783644306252655</v>
      </c>
      <c r="AE11" s="8">
        <f t="shared" si="0"/>
        <v>1</v>
      </c>
    </row>
    <row r="12" spans="1:31" ht="22.5" customHeight="1">
      <c r="A12" s="174" t="s">
        <v>1376</v>
      </c>
      <c r="B12" s="247" t="s">
        <v>57</v>
      </c>
      <c r="C12" s="247" t="s">
        <v>57</v>
      </c>
      <c r="D12" s="247" t="s">
        <v>57</v>
      </c>
      <c r="E12" s="247" t="s">
        <v>57</v>
      </c>
      <c r="F12" s="247" t="s">
        <v>1415</v>
      </c>
      <c r="G12" s="247" t="s">
        <v>57</v>
      </c>
      <c r="H12" s="247" t="s">
        <v>57</v>
      </c>
      <c r="I12" s="247" t="s">
        <v>57</v>
      </c>
      <c r="J12" s="247" t="s">
        <v>57</v>
      </c>
      <c r="K12" s="247" t="s">
        <v>57</v>
      </c>
      <c r="L12" s="247" t="s">
        <v>57</v>
      </c>
      <c r="M12" s="247" t="s">
        <v>57</v>
      </c>
      <c r="N12" s="247" t="s">
        <v>1415</v>
      </c>
      <c r="O12" s="247" t="s">
        <v>57</v>
      </c>
      <c r="P12" s="247" t="s">
        <v>57</v>
      </c>
      <c r="Q12" s="247" t="s">
        <v>57</v>
      </c>
      <c r="R12" s="247" t="s">
        <v>1415</v>
      </c>
      <c r="S12" s="247" t="s">
        <v>57</v>
      </c>
      <c r="T12" s="247" t="s">
        <v>1415</v>
      </c>
      <c r="U12" s="247" t="s">
        <v>57</v>
      </c>
      <c r="V12" s="247" t="s">
        <v>57</v>
      </c>
      <c r="W12" s="247" t="s">
        <v>57</v>
      </c>
      <c r="X12" s="247" t="s">
        <v>57</v>
      </c>
      <c r="Y12" s="380">
        <f>('11-6'!B12)/AA12*100</f>
        <v>3.6651772938205394</v>
      </c>
      <c r="AA12" s="8">
        <v>2030161</v>
      </c>
      <c r="AC12" s="8">
        <v>74409</v>
      </c>
      <c r="AD12" s="248">
        <f t="shared" si="1"/>
        <v>3.6651772938205394</v>
      </c>
      <c r="AE12" s="8">
        <f t="shared" si="0"/>
        <v>1</v>
      </c>
    </row>
    <row r="13" spans="1:31" ht="22.5" customHeight="1">
      <c r="A13" s="174" t="s">
        <v>1251</v>
      </c>
      <c r="B13" s="381">
        <v>19400</v>
      </c>
      <c r="C13" s="381">
        <v>11117</v>
      </c>
      <c r="D13" s="381">
        <v>8283</v>
      </c>
      <c r="E13" s="381">
        <v>4468</v>
      </c>
      <c r="F13" s="381">
        <v>3830</v>
      </c>
      <c r="G13" s="381">
        <v>1472</v>
      </c>
      <c r="H13" s="381">
        <v>1047</v>
      </c>
      <c r="I13" s="381">
        <v>130</v>
      </c>
      <c r="J13" s="381">
        <v>29</v>
      </c>
      <c r="K13" s="381">
        <v>773</v>
      </c>
      <c r="L13" s="381">
        <v>290</v>
      </c>
      <c r="M13" s="381">
        <v>164</v>
      </c>
      <c r="N13" s="381">
        <v>71</v>
      </c>
      <c r="O13" s="381">
        <v>480</v>
      </c>
      <c r="P13" s="381">
        <v>437</v>
      </c>
      <c r="Q13" s="381">
        <v>2165</v>
      </c>
      <c r="R13" s="381">
        <v>1545</v>
      </c>
      <c r="S13" s="381">
        <v>24</v>
      </c>
      <c r="T13" s="381">
        <v>12</v>
      </c>
      <c r="U13" s="381">
        <v>1435</v>
      </c>
      <c r="V13" s="381">
        <v>1011</v>
      </c>
      <c r="W13" s="381">
        <v>6</v>
      </c>
      <c r="X13" s="381">
        <v>11</v>
      </c>
      <c r="Y13" s="380">
        <f>('11-6'!B13)/AA13*100</f>
        <v>3.7267193177376186</v>
      </c>
      <c r="AA13" s="67">
        <v>2044023</v>
      </c>
      <c r="AC13" s="8">
        <v>76175</v>
      </c>
      <c r="AD13" s="248">
        <f t="shared" si="1"/>
        <v>3.7267193177376186</v>
      </c>
      <c r="AE13" s="8">
        <f t="shared" si="0"/>
        <v>1</v>
      </c>
    </row>
    <row r="14" spans="1:31" ht="22.5" customHeight="1">
      <c r="A14" s="174" t="s">
        <v>1377</v>
      </c>
      <c r="B14" s="247">
        <v>26110</v>
      </c>
      <c r="C14" s="247">
        <v>14946</v>
      </c>
      <c r="D14" s="247">
        <v>11164</v>
      </c>
      <c r="E14" s="381">
        <v>5644</v>
      </c>
      <c r="F14" s="381">
        <v>4889</v>
      </c>
      <c r="G14" s="381">
        <v>2178</v>
      </c>
      <c r="H14" s="381">
        <v>1580</v>
      </c>
      <c r="I14" s="381">
        <v>172</v>
      </c>
      <c r="J14" s="381">
        <v>43</v>
      </c>
      <c r="K14" s="381">
        <v>1134</v>
      </c>
      <c r="L14" s="381">
        <v>422</v>
      </c>
      <c r="M14" s="381">
        <v>188</v>
      </c>
      <c r="N14" s="381">
        <v>89</v>
      </c>
      <c r="O14" s="381">
        <v>738</v>
      </c>
      <c r="P14" s="381">
        <v>639</v>
      </c>
      <c r="Q14" s="381">
        <v>2923</v>
      </c>
      <c r="R14" s="381">
        <v>2093</v>
      </c>
      <c r="S14" s="381">
        <v>30</v>
      </c>
      <c r="T14" s="381">
        <v>22</v>
      </c>
      <c r="U14" s="381">
        <v>1933</v>
      </c>
      <c r="V14" s="381">
        <v>1377</v>
      </c>
      <c r="W14" s="381">
        <v>6</v>
      </c>
      <c r="X14" s="381">
        <v>10</v>
      </c>
      <c r="Y14" s="380">
        <f>('11-6'!B14)/AA14*100</f>
        <v>3.8838319257183498</v>
      </c>
      <c r="Z14" s="11"/>
      <c r="AA14" s="67">
        <v>2058328</v>
      </c>
      <c r="AC14" s="8">
        <v>79942</v>
      </c>
      <c r="AD14" s="248">
        <f t="shared" si="1"/>
        <v>3.8838319257183498</v>
      </c>
      <c r="AE14" s="8">
        <f t="shared" si="0"/>
        <v>1</v>
      </c>
    </row>
    <row r="15" spans="1:31" ht="22.5" customHeight="1">
      <c r="A15" s="174" t="s">
        <v>1253</v>
      </c>
      <c r="B15" s="247">
        <v>32546</v>
      </c>
      <c r="C15" s="247">
        <v>18717</v>
      </c>
      <c r="D15" s="247">
        <v>13829</v>
      </c>
      <c r="E15" s="381">
        <v>6669</v>
      </c>
      <c r="F15" s="381">
        <v>5676</v>
      </c>
      <c r="G15" s="381">
        <v>2918</v>
      </c>
      <c r="H15" s="381">
        <v>2127</v>
      </c>
      <c r="I15" s="381">
        <v>227</v>
      </c>
      <c r="J15" s="381">
        <v>65</v>
      </c>
      <c r="K15" s="381">
        <v>1479</v>
      </c>
      <c r="L15" s="381">
        <v>608</v>
      </c>
      <c r="M15" s="381">
        <v>227</v>
      </c>
      <c r="N15" s="381">
        <v>97</v>
      </c>
      <c r="O15" s="381">
        <v>1046</v>
      </c>
      <c r="P15" s="381">
        <v>890</v>
      </c>
      <c r="Q15" s="381">
        <v>3560</v>
      </c>
      <c r="R15" s="381">
        <v>2554</v>
      </c>
      <c r="S15" s="381">
        <v>62</v>
      </c>
      <c r="T15" s="381">
        <v>39</v>
      </c>
      <c r="U15" s="381">
        <v>2494</v>
      </c>
      <c r="V15" s="381">
        <v>1739</v>
      </c>
      <c r="W15" s="381">
        <v>35</v>
      </c>
      <c r="X15" s="381">
        <v>34</v>
      </c>
      <c r="Y15" s="380">
        <f>('11-6'!B15)/AA15*100</f>
        <v>3.7545232645385553</v>
      </c>
      <c r="Z15" s="11"/>
      <c r="AA15" s="67">
        <v>2105780</v>
      </c>
      <c r="AC15" s="8">
        <v>79062</v>
      </c>
      <c r="AD15" s="248">
        <f t="shared" si="1"/>
        <v>3.7545232645385553</v>
      </c>
      <c r="AE15" s="8">
        <f t="shared" si="0"/>
        <v>1</v>
      </c>
    </row>
    <row r="16" spans="1:31" ht="22.5" customHeight="1">
      <c r="A16" s="174" t="s">
        <v>1378</v>
      </c>
      <c r="B16" s="382">
        <v>45947</v>
      </c>
      <c r="C16" s="382">
        <v>26486</v>
      </c>
      <c r="D16" s="382">
        <v>19461</v>
      </c>
      <c r="E16" s="382">
        <v>9998</v>
      </c>
      <c r="F16" s="382">
        <v>8282</v>
      </c>
      <c r="G16" s="382">
        <v>4097</v>
      </c>
      <c r="H16" s="382">
        <v>3040</v>
      </c>
      <c r="I16" s="382">
        <v>338</v>
      </c>
      <c r="J16" s="382">
        <v>136</v>
      </c>
      <c r="K16" s="382">
        <v>1912</v>
      </c>
      <c r="L16" s="382">
        <v>797</v>
      </c>
      <c r="M16" s="382">
        <v>285</v>
      </c>
      <c r="N16" s="382">
        <v>115</v>
      </c>
      <c r="O16" s="382">
        <v>1542</v>
      </c>
      <c r="P16" s="382">
        <v>1307</v>
      </c>
      <c r="Q16" s="382">
        <v>4918</v>
      </c>
      <c r="R16" s="382">
        <v>3350</v>
      </c>
      <c r="S16" s="382">
        <v>117</v>
      </c>
      <c r="T16" s="382">
        <v>86</v>
      </c>
      <c r="U16" s="382">
        <v>3171</v>
      </c>
      <c r="V16" s="382">
        <v>2270</v>
      </c>
      <c r="W16" s="382">
        <v>108</v>
      </c>
      <c r="X16" s="382">
        <v>78</v>
      </c>
      <c r="Y16" s="380">
        <f>('11-6'!B16)/AA16*100</f>
        <v>3.7517174846572923</v>
      </c>
      <c r="AA16" s="31">
        <v>2147763</v>
      </c>
      <c r="AB16" s="86"/>
      <c r="AC16" s="8">
        <v>80578</v>
      </c>
      <c r="AD16" s="248">
        <f t="shared" si="1"/>
        <v>3.7517174846572923</v>
      </c>
      <c r="AE16" s="8">
        <f t="shared" si="0"/>
        <v>1</v>
      </c>
    </row>
    <row r="17" spans="1:31" ht="22.5" customHeight="1">
      <c r="A17" s="174" t="s">
        <v>1252</v>
      </c>
      <c r="B17" s="382">
        <v>71720</v>
      </c>
      <c r="C17" s="382">
        <v>41183</v>
      </c>
      <c r="D17" s="382">
        <v>30537</v>
      </c>
      <c r="E17" s="382">
        <v>11702</v>
      </c>
      <c r="F17" s="382">
        <v>10155</v>
      </c>
      <c r="G17" s="382">
        <v>6110</v>
      </c>
      <c r="H17" s="382">
        <v>4896</v>
      </c>
      <c r="I17" s="382">
        <v>534</v>
      </c>
      <c r="J17" s="382">
        <v>228</v>
      </c>
      <c r="K17" s="382">
        <v>2535</v>
      </c>
      <c r="L17" s="382">
        <v>1304</v>
      </c>
      <c r="M17" s="382">
        <v>510</v>
      </c>
      <c r="N17" s="382">
        <v>235</v>
      </c>
      <c r="O17" s="382">
        <v>2677</v>
      </c>
      <c r="P17" s="382">
        <v>2588</v>
      </c>
      <c r="Q17" s="382">
        <v>12264</v>
      </c>
      <c r="R17" s="382">
        <v>7696</v>
      </c>
      <c r="S17" s="382">
        <v>187</v>
      </c>
      <c r="T17" s="382">
        <v>119</v>
      </c>
      <c r="U17" s="382">
        <v>4537</v>
      </c>
      <c r="V17" s="382">
        <v>3210</v>
      </c>
      <c r="W17" s="382">
        <v>127</v>
      </c>
      <c r="X17" s="382">
        <v>106</v>
      </c>
      <c r="Y17" s="380">
        <f>('11-6'!B17)/AA17*100</f>
        <v>3.7499251605449131</v>
      </c>
      <c r="Z17" s="31"/>
      <c r="AA17" s="8">
        <v>2188017</v>
      </c>
      <c r="AC17" s="8">
        <v>82049</v>
      </c>
      <c r="AD17" s="248">
        <f t="shared" si="1"/>
        <v>3.7499251605449131</v>
      </c>
      <c r="AE17" s="8">
        <f t="shared" si="0"/>
        <v>1</v>
      </c>
    </row>
    <row r="18" spans="1:31" ht="22.5" customHeight="1">
      <c r="A18" s="174" t="s">
        <v>1411</v>
      </c>
      <c r="B18" s="382">
        <f>SUM(B19:B31)</f>
        <v>80465</v>
      </c>
      <c r="C18" s="382">
        <f t="shared" ref="C18:X18" si="2">SUM(C19:C31)</f>
        <v>45856</v>
      </c>
      <c r="D18" s="382">
        <f t="shared" si="2"/>
        <v>34609</v>
      </c>
      <c r="E18" s="382">
        <f t="shared" si="2"/>
        <v>12686</v>
      </c>
      <c r="F18" s="382">
        <f t="shared" si="2"/>
        <v>11163</v>
      </c>
      <c r="G18" s="382">
        <f t="shared" si="2"/>
        <v>7262</v>
      </c>
      <c r="H18" s="382">
        <f t="shared" si="2"/>
        <v>5677</v>
      </c>
      <c r="I18" s="382">
        <f t="shared" si="2"/>
        <v>588</v>
      </c>
      <c r="J18" s="382">
        <f t="shared" si="2"/>
        <v>251</v>
      </c>
      <c r="K18" s="382">
        <f t="shared" si="2"/>
        <v>2414</v>
      </c>
      <c r="L18" s="382">
        <f t="shared" si="2"/>
        <v>1500</v>
      </c>
      <c r="M18" s="382">
        <f t="shared" si="2"/>
        <v>540</v>
      </c>
      <c r="N18" s="382">
        <f t="shared" si="2"/>
        <v>256</v>
      </c>
      <c r="O18" s="382">
        <f t="shared" si="2"/>
        <v>3027</v>
      </c>
      <c r="P18" s="382">
        <f t="shared" si="2"/>
        <v>2873</v>
      </c>
      <c r="Q18" s="382">
        <f>SUM(Q19:Q31)</f>
        <v>14126</v>
      </c>
      <c r="R18" s="382">
        <f t="shared" si="2"/>
        <v>9048</v>
      </c>
      <c r="S18" s="382">
        <f t="shared" si="2"/>
        <v>210</v>
      </c>
      <c r="T18" s="382">
        <f t="shared" si="2"/>
        <v>136</v>
      </c>
      <c r="U18" s="382">
        <f t="shared" si="2"/>
        <v>4875</v>
      </c>
      <c r="V18" s="382">
        <f t="shared" si="2"/>
        <v>3596</v>
      </c>
      <c r="W18" s="382">
        <f t="shared" si="2"/>
        <v>128</v>
      </c>
      <c r="X18" s="382">
        <f t="shared" si="2"/>
        <v>109</v>
      </c>
      <c r="Y18" s="380">
        <f>('11-6'!B18)/AA18*100</f>
        <v>3.7636117705117629</v>
      </c>
      <c r="AA18" s="8">
        <v>2220872</v>
      </c>
      <c r="AC18" s="8">
        <v>83585</v>
      </c>
      <c r="AD18" s="248">
        <f>AC18/AA18*100</f>
        <v>3.7636117705117629</v>
      </c>
      <c r="AE18" s="8">
        <f t="shared" ref="AE18:AE31" si="3">IF(Y18=AD18,1)</f>
        <v>1</v>
      </c>
    </row>
    <row r="19" spans="1:31" ht="22.5" customHeight="1">
      <c r="A19" s="172" t="s">
        <v>1412</v>
      </c>
      <c r="B19" s="383">
        <f>C19+D19</f>
        <v>14366</v>
      </c>
      <c r="C19" s="383">
        <f>E19+G19+I19+K19+M19+O19+Q19+S19+U19+W19</f>
        <v>8121</v>
      </c>
      <c r="D19" s="383">
        <f>F19+H19+J19+L19+N19+P19+R19+T19+V19+X19</f>
        <v>6245</v>
      </c>
      <c r="E19" s="383">
        <v>2266</v>
      </c>
      <c r="F19" s="383">
        <v>1950</v>
      </c>
      <c r="G19" s="383">
        <v>1286</v>
      </c>
      <c r="H19" s="383">
        <v>1072</v>
      </c>
      <c r="I19" s="383">
        <v>86</v>
      </c>
      <c r="J19" s="383">
        <v>37</v>
      </c>
      <c r="K19" s="383">
        <v>498</v>
      </c>
      <c r="L19" s="383">
        <v>288</v>
      </c>
      <c r="M19" s="383">
        <v>91</v>
      </c>
      <c r="N19" s="383">
        <v>51</v>
      </c>
      <c r="O19" s="383">
        <v>610</v>
      </c>
      <c r="P19" s="383">
        <v>526</v>
      </c>
      <c r="Q19" s="383">
        <v>2377</v>
      </c>
      <c r="R19" s="383">
        <v>1584</v>
      </c>
      <c r="S19" s="383">
        <v>25</v>
      </c>
      <c r="T19" s="383">
        <v>23</v>
      </c>
      <c r="U19" s="383">
        <v>862</v>
      </c>
      <c r="V19" s="383">
        <v>681</v>
      </c>
      <c r="W19" s="383">
        <v>20</v>
      </c>
      <c r="X19" s="383">
        <v>33</v>
      </c>
      <c r="Y19" s="380">
        <f>('11-6'!B19)/AA19*100</f>
        <v>3.3360011804105505</v>
      </c>
      <c r="Z19" s="11"/>
      <c r="AA19" s="67">
        <v>447302</v>
      </c>
      <c r="AC19" s="8">
        <v>14922</v>
      </c>
      <c r="AD19" s="248">
        <f t="shared" si="1"/>
        <v>3.3360011804105505</v>
      </c>
      <c r="AE19" s="8">
        <f>IF(Y19=AD19,1)</f>
        <v>1</v>
      </c>
    </row>
    <row r="20" spans="1:31" ht="22.5" customHeight="1">
      <c r="A20" s="172" t="s">
        <v>1413</v>
      </c>
      <c r="B20" s="383">
        <f t="shared" ref="B20:B31" si="4">C20+D20</f>
        <v>14422</v>
      </c>
      <c r="C20" s="383">
        <f>E20+G20+I20+K20+M20+O20+Q20+S20+U20+W20</f>
        <v>8093</v>
      </c>
      <c r="D20" s="383">
        <f t="shared" ref="D20:D31" si="5">F20+H20+J20+L20+N20+P20+R20+T20+V20+X20</f>
        <v>6329</v>
      </c>
      <c r="E20" s="383">
        <v>2318</v>
      </c>
      <c r="F20" s="383">
        <v>2064</v>
      </c>
      <c r="G20" s="383">
        <v>1292</v>
      </c>
      <c r="H20" s="383">
        <v>1067</v>
      </c>
      <c r="I20" s="383">
        <v>107</v>
      </c>
      <c r="J20" s="383">
        <v>44</v>
      </c>
      <c r="K20" s="383">
        <v>423</v>
      </c>
      <c r="L20" s="383">
        <v>247</v>
      </c>
      <c r="M20" s="383">
        <v>95</v>
      </c>
      <c r="N20" s="383">
        <v>49</v>
      </c>
      <c r="O20" s="383">
        <v>516</v>
      </c>
      <c r="P20" s="383">
        <v>529</v>
      </c>
      <c r="Q20" s="383">
        <v>2451</v>
      </c>
      <c r="R20" s="383">
        <v>1636</v>
      </c>
      <c r="S20" s="383">
        <v>32</v>
      </c>
      <c r="T20" s="383">
        <v>24</v>
      </c>
      <c r="U20" s="383">
        <v>842</v>
      </c>
      <c r="V20" s="383">
        <v>654</v>
      </c>
      <c r="W20" s="383">
        <v>17</v>
      </c>
      <c r="X20" s="383">
        <v>15</v>
      </c>
      <c r="Y20" s="380">
        <f>('11-6'!B20)/AA20*100</f>
        <v>3.6326969419724651</v>
      </c>
      <c r="Z20" s="11"/>
      <c r="AA20" s="67">
        <v>412063</v>
      </c>
      <c r="AC20" s="8">
        <v>14969</v>
      </c>
      <c r="AD20" s="248">
        <f t="shared" si="1"/>
        <v>3.6326969419724651</v>
      </c>
      <c r="AE20" s="8">
        <f t="shared" si="3"/>
        <v>1</v>
      </c>
    </row>
    <row r="21" spans="1:31" ht="22.5" customHeight="1">
      <c r="A21" s="172" t="s">
        <v>658</v>
      </c>
      <c r="B21" s="383">
        <f t="shared" si="4"/>
        <v>4339</v>
      </c>
      <c r="C21" s="383">
        <f t="shared" ref="C21:C31" si="6">E21+G21+I21+K21+M21+O21+Q21+S21+U21+W21</f>
        <v>2464</v>
      </c>
      <c r="D21" s="383">
        <f t="shared" si="5"/>
        <v>1875</v>
      </c>
      <c r="E21" s="383">
        <v>702</v>
      </c>
      <c r="F21" s="383">
        <v>610</v>
      </c>
      <c r="G21" s="383">
        <v>383</v>
      </c>
      <c r="H21" s="383">
        <v>276</v>
      </c>
      <c r="I21" s="383">
        <v>32</v>
      </c>
      <c r="J21" s="383">
        <v>21</v>
      </c>
      <c r="K21" s="383">
        <v>123</v>
      </c>
      <c r="L21" s="383">
        <v>93</v>
      </c>
      <c r="M21" s="383">
        <v>38</v>
      </c>
      <c r="N21" s="383">
        <v>10</v>
      </c>
      <c r="O21" s="383">
        <v>126</v>
      </c>
      <c r="P21" s="383">
        <v>126</v>
      </c>
      <c r="Q21" s="384">
        <v>768</v>
      </c>
      <c r="R21" s="384">
        <v>503</v>
      </c>
      <c r="S21" s="383">
        <v>9</v>
      </c>
      <c r="T21" s="383">
        <v>7</v>
      </c>
      <c r="U21" s="383">
        <v>274</v>
      </c>
      <c r="V21" s="383">
        <v>226</v>
      </c>
      <c r="W21" s="383">
        <v>9</v>
      </c>
      <c r="X21" s="383">
        <v>3</v>
      </c>
      <c r="Y21" s="380">
        <f>('11-6'!B21)/AA21*100</f>
        <v>4.7668229962586288</v>
      </c>
      <c r="Z21" s="11"/>
      <c r="AA21" s="67">
        <v>94885</v>
      </c>
      <c r="AC21" s="8">
        <v>4523</v>
      </c>
      <c r="AD21" s="248">
        <f t="shared" si="1"/>
        <v>4.7668229962586288</v>
      </c>
      <c r="AE21" s="8">
        <f t="shared" si="3"/>
        <v>1</v>
      </c>
    </row>
    <row r="22" spans="1:31" ht="22.5" customHeight="1">
      <c r="A22" s="172" t="s">
        <v>659</v>
      </c>
      <c r="B22" s="383">
        <f t="shared" si="4"/>
        <v>6265</v>
      </c>
      <c r="C22" s="383">
        <f t="shared" si="6"/>
        <v>3619</v>
      </c>
      <c r="D22" s="383">
        <f t="shared" si="5"/>
        <v>2646</v>
      </c>
      <c r="E22" s="383">
        <v>991</v>
      </c>
      <c r="F22" s="383">
        <v>825</v>
      </c>
      <c r="G22" s="383">
        <v>529</v>
      </c>
      <c r="H22" s="383">
        <v>455</v>
      </c>
      <c r="I22" s="383">
        <v>40</v>
      </c>
      <c r="J22" s="383">
        <v>20</v>
      </c>
      <c r="K22" s="383">
        <v>216</v>
      </c>
      <c r="L22" s="383">
        <v>111</v>
      </c>
      <c r="M22" s="383">
        <v>39</v>
      </c>
      <c r="N22" s="383">
        <v>15</v>
      </c>
      <c r="O22" s="383">
        <v>259</v>
      </c>
      <c r="P22" s="383">
        <v>221</v>
      </c>
      <c r="Q22" s="384">
        <v>1161</v>
      </c>
      <c r="R22" s="384">
        <v>733</v>
      </c>
      <c r="S22" s="383">
        <v>12</v>
      </c>
      <c r="T22" s="383">
        <v>15</v>
      </c>
      <c r="U22" s="383">
        <v>360</v>
      </c>
      <c r="V22" s="383">
        <v>240</v>
      </c>
      <c r="W22" s="383">
        <v>12</v>
      </c>
      <c r="X22" s="383">
        <v>11</v>
      </c>
      <c r="Y22" s="380">
        <f>('11-6'!B22)/AA22*100</f>
        <v>3.7891771334663691</v>
      </c>
      <c r="Z22" s="11"/>
      <c r="AA22" s="67">
        <v>170380</v>
      </c>
      <c r="AC22" s="8">
        <v>6456</v>
      </c>
      <c r="AD22" s="248">
        <f t="shared" si="1"/>
        <v>3.7891771334663691</v>
      </c>
      <c r="AE22" s="8">
        <f t="shared" si="3"/>
        <v>1</v>
      </c>
    </row>
    <row r="23" spans="1:31" ht="22.5" customHeight="1">
      <c r="A23" s="172" t="s">
        <v>660</v>
      </c>
      <c r="B23" s="383">
        <f t="shared" si="4"/>
        <v>5025</v>
      </c>
      <c r="C23" s="383">
        <f t="shared" si="6"/>
        <v>2857</v>
      </c>
      <c r="D23" s="383">
        <f t="shared" si="5"/>
        <v>2168</v>
      </c>
      <c r="E23" s="383">
        <v>739</v>
      </c>
      <c r="F23" s="383">
        <v>628</v>
      </c>
      <c r="G23" s="383">
        <v>477</v>
      </c>
      <c r="H23" s="383">
        <v>353</v>
      </c>
      <c r="I23" s="383">
        <v>37</v>
      </c>
      <c r="J23" s="383">
        <v>18</v>
      </c>
      <c r="K23" s="383">
        <v>158</v>
      </c>
      <c r="L23" s="383">
        <v>118</v>
      </c>
      <c r="M23" s="383">
        <v>41</v>
      </c>
      <c r="N23" s="383">
        <v>16</v>
      </c>
      <c r="O23" s="383">
        <v>192</v>
      </c>
      <c r="P23" s="383">
        <v>196</v>
      </c>
      <c r="Q23" s="383">
        <v>905</v>
      </c>
      <c r="R23" s="383">
        <v>570</v>
      </c>
      <c r="S23" s="383">
        <v>11</v>
      </c>
      <c r="T23" s="383">
        <v>10</v>
      </c>
      <c r="U23" s="383">
        <v>286</v>
      </c>
      <c r="V23" s="383">
        <v>247</v>
      </c>
      <c r="W23" s="383">
        <v>11</v>
      </c>
      <c r="X23" s="383">
        <v>12</v>
      </c>
      <c r="Y23" s="380">
        <f>('11-6'!B23)/AA23*100</f>
        <v>3.1694082149114267</v>
      </c>
      <c r="Z23" s="11"/>
      <c r="AA23" s="67">
        <v>164384</v>
      </c>
      <c r="AC23" s="8">
        <v>5210</v>
      </c>
      <c r="AD23" s="248">
        <f t="shared" si="1"/>
        <v>3.1694082149114267</v>
      </c>
      <c r="AE23" s="8">
        <f t="shared" si="3"/>
        <v>1</v>
      </c>
    </row>
    <row r="24" spans="1:31" ht="22.5" customHeight="1">
      <c r="A24" s="172" t="s">
        <v>661</v>
      </c>
      <c r="B24" s="383">
        <f t="shared" si="4"/>
        <v>3376</v>
      </c>
      <c r="C24" s="383">
        <f t="shared" si="6"/>
        <v>1976</v>
      </c>
      <c r="D24" s="383">
        <f t="shared" si="5"/>
        <v>1400</v>
      </c>
      <c r="E24" s="383">
        <v>517</v>
      </c>
      <c r="F24" s="383">
        <v>443</v>
      </c>
      <c r="G24" s="383">
        <v>276</v>
      </c>
      <c r="H24" s="383">
        <v>207</v>
      </c>
      <c r="I24" s="383">
        <v>39</v>
      </c>
      <c r="J24" s="383">
        <v>13</v>
      </c>
      <c r="K24" s="383">
        <v>111</v>
      </c>
      <c r="L24" s="383">
        <v>51</v>
      </c>
      <c r="M24" s="383">
        <v>18</v>
      </c>
      <c r="N24" s="383">
        <v>9</v>
      </c>
      <c r="O24" s="383">
        <v>137</v>
      </c>
      <c r="P24" s="383">
        <v>122</v>
      </c>
      <c r="Q24" s="383">
        <v>656</v>
      </c>
      <c r="R24" s="383">
        <v>408</v>
      </c>
      <c r="S24" s="383">
        <v>9</v>
      </c>
      <c r="T24" s="383">
        <v>6</v>
      </c>
      <c r="U24" s="383">
        <v>210</v>
      </c>
      <c r="V24" s="383">
        <v>137</v>
      </c>
      <c r="W24" s="383">
        <v>3</v>
      </c>
      <c r="X24" s="383">
        <v>4</v>
      </c>
      <c r="Y24" s="380">
        <f>('11-6'!B24)/AA24*100</f>
        <v>3.8927031071208518</v>
      </c>
      <c r="Z24" s="11"/>
      <c r="AA24" s="67">
        <v>90888</v>
      </c>
      <c r="AC24" s="8">
        <v>3538</v>
      </c>
      <c r="AD24" s="248">
        <f t="shared" si="1"/>
        <v>3.8927031071208518</v>
      </c>
      <c r="AE24" s="8">
        <f t="shared" si="3"/>
        <v>1</v>
      </c>
    </row>
    <row r="25" spans="1:31" ht="22.5" customHeight="1">
      <c r="A25" s="172" t="s">
        <v>662</v>
      </c>
      <c r="B25" s="383">
        <f t="shared" si="4"/>
        <v>6095</v>
      </c>
      <c r="C25" s="383">
        <f t="shared" si="6"/>
        <v>3492</v>
      </c>
      <c r="D25" s="383">
        <f t="shared" si="5"/>
        <v>2603</v>
      </c>
      <c r="E25" s="383">
        <v>940</v>
      </c>
      <c r="F25" s="383">
        <v>838</v>
      </c>
      <c r="G25" s="383">
        <v>595</v>
      </c>
      <c r="H25" s="383">
        <v>421</v>
      </c>
      <c r="I25" s="383">
        <v>42</v>
      </c>
      <c r="J25" s="383">
        <v>13</v>
      </c>
      <c r="K25" s="383">
        <v>199</v>
      </c>
      <c r="L25" s="383">
        <v>137</v>
      </c>
      <c r="M25" s="383">
        <v>41</v>
      </c>
      <c r="N25" s="383">
        <v>15</v>
      </c>
      <c r="O25" s="383">
        <v>227</v>
      </c>
      <c r="P25" s="383">
        <v>254</v>
      </c>
      <c r="Q25" s="383">
        <v>1024</v>
      </c>
      <c r="R25" s="383">
        <v>628</v>
      </c>
      <c r="S25" s="383">
        <v>21</v>
      </c>
      <c r="T25" s="383">
        <v>7</v>
      </c>
      <c r="U25" s="383">
        <v>393</v>
      </c>
      <c r="V25" s="383">
        <v>285</v>
      </c>
      <c r="W25" s="383">
        <v>10</v>
      </c>
      <c r="X25" s="383">
        <v>5</v>
      </c>
      <c r="Y25" s="380">
        <f>('11-6'!B25)/AA25*100</f>
        <v>3.9522762794926241</v>
      </c>
      <c r="Z25" s="11"/>
      <c r="AA25" s="67">
        <v>160591</v>
      </c>
      <c r="AC25" s="8">
        <v>6347</v>
      </c>
      <c r="AD25" s="248">
        <f t="shared" si="1"/>
        <v>3.9522762794926241</v>
      </c>
      <c r="AE25" s="8">
        <f t="shared" si="3"/>
        <v>1</v>
      </c>
    </row>
    <row r="26" spans="1:31" ht="22.5" customHeight="1">
      <c r="A26" s="172" t="s">
        <v>663</v>
      </c>
      <c r="B26" s="383">
        <f t="shared" si="4"/>
        <v>7689</v>
      </c>
      <c r="C26" s="383">
        <f t="shared" si="6"/>
        <v>4371</v>
      </c>
      <c r="D26" s="383">
        <f t="shared" si="5"/>
        <v>3318</v>
      </c>
      <c r="E26" s="383">
        <v>1256</v>
      </c>
      <c r="F26" s="383">
        <v>1134</v>
      </c>
      <c r="G26" s="383">
        <v>685</v>
      </c>
      <c r="H26" s="383">
        <v>524</v>
      </c>
      <c r="I26" s="383">
        <v>53</v>
      </c>
      <c r="J26" s="383">
        <v>30</v>
      </c>
      <c r="K26" s="383">
        <v>210</v>
      </c>
      <c r="L26" s="383">
        <v>146</v>
      </c>
      <c r="M26" s="383">
        <v>49</v>
      </c>
      <c r="N26" s="383">
        <v>28</v>
      </c>
      <c r="O26" s="383">
        <v>267</v>
      </c>
      <c r="P26" s="383">
        <v>259</v>
      </c>
      <c r="Q26" s="383">
        <v>1344</v>
      </c>
      <c r="R26" s="383">
        <v>847</v>
      </c>
      <c r="S26" s="383">
        <v>28</v>
      </c>
      <c r="T26" s="383">
        <v>11</v>
      </c>
      <c r="U26" s="383">
        <v>462</v>
      </c>
      <c r="V26" s="383">
        <v>332</v>
      </c>
      <c r="W26" s="383">
        <v>17</v>
      </c>
      <c r="X26" s="383">
        <v>7</v>
      </c>
      <c r="Y26" s="380">
        <f>('11-6'!B26)/AA26*100</f>
        <v>3.9392081029485952</v>
      </c>
      <c r="Z26" s="11"/>
      <c r="AA26" s="67">
        <v>202198</v>
      </c>
      <c r="AC26" s="8">
        <v>7965</v>
      </c>
      <c r="AD26" s="248">
        <f t="shared" si="1"/>
        <v>3.9392081029485952</v>
      </c>
      <c r="AE26" s="8">
        <f t="shared" si="3"/>
        <v>1</v>
      </c>
    </row>
    <row r="27" spans="1:31" ht="22.5" customHeight="1">
      <c r="A27" s="172" t="s">
        <v>664</v>
      </c>
      <c r="B27" s="383">
        <f t="shared" si="4"/>
        <v>4930</v>
      </c>
      <c r="C27" s="383">
        <f t="shared" si="6"/>
        <v>2756</v>
      </c>
      <c r="D27" s="383">
        <f t="shared" si="5"/>
        <v>2174</v>
      </c>
      <c r="E27" s="383">
        <v>814</v>
      </c>
      <c r="F27" s="383">
        <v>765</v>
      </c>
      <c r="G27" s="383">
        <v>386</v>
      </c>
      <c r="H27" s="383">
        <v>305</v>
      </c>
      <c r="I27" s="383">
        <v>25</v>
      </c>
      <c r="J27" s="383">
        <v>9</v>
      </c>
      <c r="K27" s="383">
        <v>113</v>
      </c>
      <c r="L27" s="383">
        <v>87</v>
      </c>
      <c r="M27" s="383">
        <v>37</v>
      </c>
      <c r="N27" s="383">
        <v>18</v>
      </c>
      <c r="O27" s="383">
        <v>168</v>
      </c>
      <c r="P27" s="383">
        <v>159</v>
      </c>
      <c r="Q27" s="383">
        <v>880</v>
      </c>
      <c r="R27" s="383">
        <v>582</v>
      </c>
      <c r="S27" s="383">
        <v>13</v>
      </c>
      <c r="T27" s="383">
        <v>9</v>
      </c>
      <c r="U27" s="383">
        <v>316</v>
      </c>
      <c r="V27" s="383">
        <v>237</v>
      </c>
      <c r="W27" s="383">
        <v>4</v>
      </c>
      <c r="X27" s="383">
        <v>3</v>
      </c>
      <c r="Y27" s="380">
        <f>('11-6'!B27)/AA27*100</f>
        <v>4.1412624314998991</v>
      </c>
      <c r="Z27" s="11"/>
      <c r="AA27" s="67">
        <v>123175</v>
      </c>
      <c r="AC27" s="8">
        <v>5101</v>
      </c>
      <c r="AD27" s="248">
        <f t="shared" si="1"/>
        <v>4.1412624314998991</v>
      </c>
      <c r="AE27" s="8">
        <f t="shared" si="3"/>
        <v>1</v>
      </c>
    </row>
    <row r="28" spans="1:31" ht="22.5" customHeight="1">
      <c r="A28" s="172" t="s">
        <v>665</v>
      </c>
      <c r="B28" s="383">
        <f t="shared" si="4"/>
        <v>8169</v>
      </c>
      <c r="C28" s="383">
        <f t="shared" si="6"/>
        <v>4653</v>
      </c>
      <c r="D28" s="383">
        <f t="shared" si="5"/>
        <v>3516</v>
      </c>
      <c r="E28" s="383">
        <v>1237</v>
      </c>
      <c r="F28" s="383">
        <v>1114</v>
      </c>
      <c r="G28" s="383">
        <v>761</v>
      </c>
      <c r="H28" s="383">
        <v>617</v>
      </c>
      <c r="I28" s="383">
        <v>76</v>
      </c>
      <c r="J28" s="383">
        <v>30</v>
      </c>
      <c r="K28" s="383">
        <v>221</v>
      </c>
      <c r="L28" s="383">
        <v>119</v>
      </c>
      <c r="M28" s="383">
        <v>54</v>
      </c>
      <c r="N28" s="383">
        <v>26</v>
      </c>
      <c r="O28" s="383">
        <v>302</v>
      </c>
      <c r="P28" s="383">
        <v>306</v>
      </c>
      <c r="Q28" s="383">
        <v>1432</v>
      </c>
      <c r="R28" s="383">
        <v>938</v>
      </c>
      <c r="S28" s="383">
        <v>30</v>
      </c>
      <c r="T28" s="383">
        <v>13</v>
      </c>
      <c r="U28" s="383">
        <v>523</v>
      </c>
      <c r="V28" s="383">
        <v>339</v>
      </c>
      <c r="W28" s="383">
        <v>17</v>
      </c>
      <c r="X28" s="383">
        <v>14</v>
      </c>
      <c r="Y28" s="380">
        <f>('11-6'!B28)/AA28*100</f>
        <v>3.7445011748493897</v>
      </c>
      <c r="Z28" s="11"/>
      <c r="AA28" s="67">
        <v>226412</v>
      </c>
      <c r="AC28" s="8">
        <v>8478</v>
      </c>
      <c r="AD28" s="248">
        <f t="shared" si="1"/>
        <v>3.7445011748493897</v>
      </c>
      <c r="AE28" s="8">
        <f t="shared" si="3"/>
        <v>1</v>
      </c>
    </row>
    <row r="29" spans="1:31" ht="22.5" customHeight="1">
      <c r="A29" s="172" t="s">
        <v>666</v>
      </c>
      <c r="B29" s="383">
        <f t="shared" si="4"/>
        <v>2334</v>
      </c>
      <c r="C29" s="383">
        <f t="shared" si="6"/>
        <v>1415</v>
      </c>
      <c r="D29" s="383">
        <f t="shared" si="5"/>
        <v>919</v>
      </c>
      <c r="E29" s="383">
        <v>380</v>
      </c>
      <c r="F29" s="383">
        <v>311</v>
      </c>
      <c r="G29" s="383">
        <v>262</v>
      </c>
      <c r="H29" s="383">
        <v>158</v>
      </c>
      <c r="I29" s="383">
        <v>20</v>
      </c>
      <c r="J29" s="383">
        <v>7</v>
      </c>
      <c r="K29" s="383">
        <v>57</v>
      </c>
      <c r="L29" s="383">
        <v>43</v>
      </c>
      <c r="M29" s="383">
        <v>18</v>
      </c>
      <c r="N29" s="383">
        <v>5</v>
      </c>
      <c r="O29" s="383">
        <v>94</v>
      </c>
      <c r="P29" s="383">
        <v>63</v>
      </c>
      <c r="Q29" s="383">
        <v>453</v>
      </c>
      <c r="R29" s="383">
        <v>252</v>
      </c>
      <c r="S29" s="383">
        <v>14</v>
      </c>
      <c r="T29" s="383">
        <v>5</v>
      </c>
      <c r="U29" s="383">
        <v>111</v>
      </c>
      <c r="V29" s="383">
        <v>75</v>
      </c>
      <c r="W29" s="383">
        <v>6</v>
      </c>
      <c r="X29" s="385">
        <v>0</v>
      </c>
      <c r="Y29" s="380">
        <f>('11-6'!B29)/AA29*100</f>
        <v>4.9359886201991463</v>
      </c>
      <c r="Z29" s="11"/>
      <c r="AA29" s="67">
        <v>49210</v>
      </c>
      <c r="AC29" s="8">
        <v>2429</v>
      </c>
      <c r="AD29" s="248">
        <f t="shared" si="1"/>
        <v>4.9359886201991463</v>
      </c>
      <c r="AE29" s="8">
        <f t="shared" si="3"/>
        <v>1</v>
      </c>
    </row>
    <row r="30" spans="1:31" ht="22.5" customHeight="1">
      <c r="A30" s="172" t="s">
        <v>667</v>
      </c>
      <c r="B30" s="383">
        <f t="shared" si="4"/>
        <v>2739</v>
      </c>
      <c r="C30" s="383">
        <f t="shared" si="6"/>
        <v>1573</v>
      </c>
      <c r="D30" s="383">
        <f t="shared" si="5"/>
        <v>1166</v>
      </c>
      <c r="E30" s="383">
        <v>415</v>
      </c>
      <c r="F30" s="383">
        <v>400</v>
      </c>
      <c r="G30" s="383">
        <v>267</v>
      </c>
      <c r="H30" s="383">
        <v>190</v>
      </c>
      <c r="I30" s="383">
        <v>28</v>
      </c>
      <c r="J30" s="383">
        <v>8</v>
      </c>
      <c r="K30" s="383">
        <v>65</v>
      </c>
      <c r="L30" s="383">
        <v>49</v>
      </c>
      <c r="M30" s="383">
        <v>17</v>
      </c>
      <c r="N30" s="383">
        <v>12</v>
      </c>
      <c r="O30" s="383">
        <v>100</v>
      </c>
      <c r="P30" s="383">
        <v>97</v>
      </c>
      <c r="Q30" s="383">
        <v>501</v>
      </c>
      <c r="R30" s="383">
        <v>293</v>
      </c>
      <c r="S30" s="383">
        <v>5</v>
      </c>
      <c r="T30" s="383">
        <v>5</v>
      </c>
      <c r="U30" s="383">
        <v>174</v>
      </c>
      <c r="V30" s="383">
        <v>110</v>
      </c>
      <c r="W30" s="383">
        <v>1</v>
      </c>
      <c r="X30" s="383">
        <v>2</v>
      </c>
      <c r="Y30" s="380">
        <f>('11-6'!B30)/AA30*100</f>
        <v>4.2756613913714778</v>
      </c>
      <c r="Z30" s="11"/>
      <c r="AA30" s="67">
        <v>67358</v>
      </c>
      <c r="AC30" s="8">
        <v>2880</v>
      </c>
      <c r="AD30" s="248">
        <f t="shared" si="1"/>
        <v>4.2756613913714778</v>
      </c>
      <c r="AE30" s="8">
        <f t="shared" si="3"/>
        <v>1</v>
      </c>
    </row>
    <row r="31" spans="1:31" ht="22.5" customHeight="1" thickBot="1">
      <c r="A31" s="173" t="s">
        <v>1414</v>
      </c>
      <c r="B31" s="386">
        <f t="shared" si="4"/>
        <v>716</v>
      </c>
      <c r="C31" s="386">
        <f t="shared" si="6"/>
        <v>466</v>
      </c>
      <c r="D31" s="386">
        <f t="shared" si="5"/>
        <v>250</v>
      </c>
      <c r="E31" s="386">
        <v>111</v>
      </c>
      <c r="F31" s="386">
        <v>81</v>
      </c>
      <c r="G31" s="386">
        <v>63</v>
      </c>
      <c r="H31" s="386">
        <v>32</v>
      </c>
      <c r="I31" s="386">
        <v>3</v>
      </c>
      <c r="J31" s="386">
        <v>1</v>
      </c>
      <c r="K31" s="386">
        <v>20</v>
      </c>
      <c r="L31" s="386">
        <v>11</v>
      </c>
      <c r="M31" s="386">
        <v>2</v>
      </c>
      <c r="N31" s="386">
        <v>2</v>
      </c>
      <c r="O31" s="386">
        <v>29</v>
      </c>
      <c r="P31" s="386">
        <v>15</v>
      </c>
      <c r="Q31" s="386">
        <v>174</v>
      </c>
      <c r="R31" s="386">
        <v>74</v>
      </c>
      <c r="S31" s="386">
        <v>1</v>
      </c>
      <c r="T31" s="386">
        <v>1</v>
      </c>
      <c r="U31" s="386">
        <v>62</v>
      </c>
      <c r="V31" s="386">
        <v>33</v>
      </c>
      <c r="W31" s="386">
        <v>1</v>
      </c>
      <c r="X31" s="386">
        <v>0</v>
      </c>
      <c r="Y31" s="387">
        <f>('11-6'!B31)/AA31*100</f>
        <v>6.377847996008648</v>
      </c>
      <c r="Z31" s="11"/>
      <c r="AA31" s="67">
        <v>12026</v>
      </c>
      <c r="AC31" s="8">
        <v>767</v>
      </c>
      <c r="AD31" s="248">
        <f t="shared" si="1"/>
        <v>6.377847996008648</v>
      </c>
      <c r="AE31" s="8">
        <f t="shared" si="3"/>
        <v>1</v>
      </c>
    </row>
    <row r="32" spans="1:31" s="551" customFormat="1" ht="15" customHeight="1">
      <c r="A32" s="100"/>
      <c r="B32" s="96"/>
      <c r="C32" s="96"/>
      <c r="D32" s="96"/>
      <c r="E32" s="96"/>
      <c r="F32" s="96"/>
      <c r="G32" s="388"/>
      <c r="H32" s="388"/>
      <c r="I32" s="388"/>
      <c r="J32" s="388"/>
      <c r="K32" s="388"/>
      <c r="L32" s="388"/>
      <c r="M32" s="389"/>
      <c r="N32" s="388"/>
      <c r="O32" s="388"/>
      <c r="P32" s="388"/>
      <c r="Q32" s="388"/>
      <c r="R32" s="388"/>
      <c r="S32" s="388"/>
      <c r="T32" s="388"/>
      <c r="U32" s="388"/>
      <c r="V32" s="388"/>
      <c r="W32" s="388"/>
      <c r="X32" s="388"/>
      <c r="Y32" s="388"/>
    </row>
    <row r="33" spans="2:25" s="551" customFormat="1">
      <c r="B33" s="96"/>
      <c r="C33" s="96"/>
      <c r="D33" s="96"/>
      <c r="E33" s="96"/>
      <c r="F33" s="96"/>
      <c r="G33" s="96"/>
      <c r="H33" s="96"/>
      <c r="I33" s="96"/>
      <c r="J33" s="96"/>
      <c r="K33" s="96"/>
      <c r="L33" s="96"/>
      <c r="M33" s="96"/>
      <c r="N33" s="96"/>
      <c r="O33" s="96"/>
      <c r="P33" s="96"/>
      <c r="Q33" s="96"/>
      <c r="R33" s="96"/>
      <c r="S33" s="96"/>
      <c r="T33" s="96"/>
      <c r="U33" s="96"/>
      <c r="V33" s="96"/>
      <c r="W33" s="96"/>
      <c r="X33" s="96"/>
      <c r="Y33" s="96"/>
    </row>
    <row r="34" spans="2:25" s="551" customFormat="1">
      <c r="B34" s="96"/>
      <c r="C34" s="96"/>
      <c r="D34" s="96"/>
      <c r="E34" s="96"/>
      <c r="F34" s="96"/>
      <c r="G34" s="96"/>
      <c r="H34" s="96"/>
      <c r="I34" s="96"/>
      <c r="J34" s="96"/>
      <c r="K34" s="96"/>
      <c r="L34" s="96"/>
      <c r="M34" s="96"/>
      <c r="N34" s="96"/>
      <c r="O34" s="96"/>
      <c r="P34" s="96"/>
      <c r="Q34" s="96"/>
      <c r="R34" s="96"/>
      <c r="S34" s="96"/>
      <c r="T34" s="96"/>
      <c r="U34" s="96"/>
      <c r="V34" s="96"/>
      <c r="W34" s="96"/>
      <c r="X34" s="96"/>
      <c r="Y34" s="96"/>
    </row>
    <row r="35" spans="2:25" s="551" customFormat="1">
      <c r="B35" s="96"/>
      <c r="C35" s="96"/>
      <c r="D35" s="96"/>
      <c r="E35" s="96"/>
      <c r="F35" s="96"/>
      <c r="G35" s="96"/>
      <c r="H35" s="96"/>
      <c r="I35" s="96"/>
      <c r="J35" s="96"/>
      <c r="K35" s="96"/>
      <c r="L35" s="96"/>
      <c r="M35" s="96"/>
      <c r="N35" s="96"/>
      <c r="O35" s="96"/>
      <c r="P35" s="96"/>
      <c r="Q35" s="96"/>
      <c r="R35" s="96"/>
      <c r="S35" s="96"/>
      <c r="T35" s="96"/>
      <c r="U35" s="96"/>
      <c r="V35" s="96"/>
      <c r="W35" s="96"/>
      <c r="X35" s="96"/>
      <c r="Y35" s="96"/>
    </row>
    <row r="36" spans="2:25" s="551" customFormat="1"/>
    <row r="37" spans="2:25" s="551" customFormat="1"/>
    <row r="38" spans="2:25" s="551" customFormat="1"/>
    <row r="39" spans="2:25" s="551" customFormat="1"/>
    <row r="40" spans="2:25" s="551" customFormat="1"/>
    <row r="41" spans="2:25" s="551" customFormat="1"/>
    <row r="42" spans="2:25" s="551" customFormat="1"/>
    <row r="43" spans="2:25" s="551" customFormat="1"/>
    <row r="44" spans="2:25" s="551" customFormat="1"/>
    <row r="45" spans="2:25" s="551" customFormat="1"/>
  </sheetData>
  <mergeCells count="29">
    <mergeCell ref="I6:J6"/>
    <mergeCell ref="K6:L6"/>
    <mergeCell ref="O6:P6"/>
    <mergeCell ref="Q6:R6"/>
    <mergeCell ref="U5:V5"/>
    <mergeCell ref="S6:T6"/>
    <mergeCell ref="K5:L5"/>
    <mergeCell ref="M5:N5"/>
    <mergeCell ref="O5:P5"/>
    <mergeCell ref="Q5:R5"/>
    <mergeCell ref="S5:T5"/>
    <mergeCell ref="M6:N6"/>
    <mergeCell ref="U6:V6"/>
    <mergeCell ref="W6:X6"/>
    <mergeCell ref="Y6:Y8"/>
    <mergeCell ref="A2:L2"/>
    <mergeCell ref="M2:Y2"/>
    <mergeCell ref="A4:A5"/>
    <mergeCell ref="B4:L4"/>
    <mergeCell ref="M4:X4"/>
    <mergeCell ref="Y4:Y5"/>
    <mergeCell ref="B5:D5"/>
    <mergeCell ref="E5:F5"/>
    <mergeCell ref="G5:H5"/>
    <mergeCell ref="I5:J5"/>
    <mergeCell ref="W5:X5"/>
    <mergeCell ref="B6:D6"/>
    <mergeCell ref="E6:F6"/>
    <mergeCell ref="G6:H6"/>
  </mergeCells>
  <phoneticPr fontId="6" type="noConversion"/>
  <printOptions horizontalCentered="1"/>
  <pageMargins left="0.6692913385826772" right="0.6692913385826772" top="0.6692913385826772" bottom="0.6692913385826772" header="0.27559055118110237" footer="0.27559055118110237"/>
  <pageSetup paperSize="9" firstPageNumber="352" orientation="portrait" useFirstPageNumber="1"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34</vt:i4>
      </vt:variant>
      <vt:variant>
        <vt:lpstr>具名範圍</vt:lpstr>
      </vt:variant>
      <vt:variant>
        <vt:i4>28</vt:i4>
      </vt:variant>
    </vt:vector>
  </HeadingPairs>
  <TitlesOfParts>
    <vt:vector size="62" baseType="lpstr">
      <vt:lpstr>11-1</vt:lpstr>
      <vt:lpstr>11-2</vt:lpstr>
      <vt:lpstr>11-3</vt:lpstr>
      <vt:lpstr>11-3 續1</vt:lpstr>
      <vt:lpstr>11-4</vt:lpstr>
      <vt:lpstr>11-5</vt:lpstr>
      <vt:lpstr>11-6</vt:lpstr>
      <vt:lpstr>11-6 續1</vt:lpstr>
      <vt:lpstr>11-6 續2完</vt:lpstr>
      <vt:lpstr>11-7</vt:lpstr>
      <vt:lpstr>11-8</vt:lpstr>
      <vt:lpstr>11-8 續 </vt:lpstr>
      <vt:lpstr>11-9</vt:lpstr>
      <vt:lpstr>11-10 </vt:lpstr>
      <vt:lpstr>11-10續 </vt:lpstr>
      <vt:lpstr>11-11 </vt:lpstr>
      <vt:lpstr>11-12 </vt:lpstr>
      <vt:lpstr>11-12續 </vt:lpstr>
      <vt:lpstr>11-13</vt:lpstr>
      <vt:lpstr>11-14 </vt:lpstr>
      <vt:lpstr>11-15 </vt:lpstr>
      <vt:lpstr>11-15續 </vt:lpstr>
      <vt:lpstr>11-16 </vt:lpstr>
      <vt:lpstr>11-17 </vt:lpstr>
      <vt:lpstr>11-18 </vt:lpstr>
      <vt:lpstr>11-18續</vt:lpstr>
      <vt:lpstr>11-19</vt:lpstr>
      <vt:lpstr>11-20 </vt:lpstr>
      <vt:lpstr>11-20 續1</vt:lpstr>
      <vt:lpstr>11-20續2 </vt:lpstr>
      <vt:lpstr>11-20續3完</vt:lpstr>
      <vt:lpstr>11-21</vt:lpstr>
      <vt:lpstr>11-22</vt:lpstr>
      <vt:lpstr>11-22續</vt:lpstr>
      <vt:lpstr>'11-1'!Print_Area</vt:lpstr>
      <vt:lpstr>'11-10續 '!Print_Area</vt:lpstr>
      <vt:lpstr>'11-11 '!Print_Area</vt:lpstr>
      <vt:lpstr>'11-12 '!Print_Area</vt:lpstr>
      <vt:lpstr>'11-12續 '!Print_Area</vt:lpstr>
      <vt:lpstr>'11-13'!Print_Area</vt:lpstr>
      <vt:lpstr>'11-14 '!Print_Area</vt:lpstr>
      <vt:lpstr>'11-15 '!Print_Area</vt:lpstr>
      <vt:lpstr>'11-16 '!Print_Area</vt:lpstr>
      <vt:lpstr>'11-17 '!Print_Area</vt:lpstr>
      <vt:lpstr>'11-18 '!Print_Area</vt:lpstr>
      <vt:lpstr>'11-18續'!Print_Area</vt:lpstr>
      <vt:lpstr>'11-19'!Print_Area</vt:lpstr>
      <vt:lpstr>'11-2'!Print_Area</vt:lpstr>
      <vt:lpstr>'11-20 '!Print_Area</vt:lpstr>
      <vt:lpstr>'11-20 續1'!Print_Area</vt:lpstr>
      <vt:lpstr>'11-20續3完'!Print_Area</vt:lpstr>
      <vt:lpstr>'11-22續'!Print_Area</vt:lpstr>
      <vt:lpstr>'11-3'!Print_Area</vt:lpstr>
      <vt:lpstr>'11-3 續1'!Print_Area</vt:lpstr>
      <vt:lpstr>'11-4'!Print_Area</vt:lpstr>
      <vt:lpstr>'11-5'!Print_Area</vt:lpstr>
      <vt:lpstr>'11-6'!Print_Area</vt:lpstr>
      <vt:lpstr>'11-6 續1'!Print_Area</vt:lpstr>
      <vt:lpstr>'11-6 續2完'!Print_Area</vt:lpstr>
      <vt:lpstr>'11-8'!Print_Area</vt:lpstr>
      <vt:lpstr>'11-8 續 '!Print_Area</vt:lpstr>
      <vt:lpstr>'11-9'!Print_Area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H;桃園市政府主計處</dc:creator>
  <cp:lastModifiedBy>邱紫菱</cp:lastModifiedBy>
  <cp:lastPrinted>2019-08-14T01:19:03Z</cp:lastPrinted>
  <dcterms:created xsi:type="dcterms:W3CDTF">2016-08-15T01:41:41Z</dcterms:created>
  <dcterms:modified xsi:type="dcterms:W3CDTF">2019-10-01T00:46:52Z</dcterms:modified>
</cp:coreProperties>
</file>