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21840" windowHeight="8655" tabRatio="843" firstSheet="23" activeTab="33"/>
  </bookViews>
  <sheets>
    <sheet name="11-1" sheetId="1" r:id="rId1"/>
    <sheet name="11-2" sheetId="2" r:id="rId2"/>
    <sheet name="11-3" sheetId="3" r:id="rId3"/>
    <sheet name="11-3 續1" sheetId="4" r:id="rId4"/>
    <sheet name="11-4" sheetId="5" r:id="rId5"/>
    <sheet name="11-5" sheetId="6" r:id="rId6"/>
    <sheet name="11-6" sheetId="7" r:id="rId7"/>
    <sheet name="11-6 續1" sheetId="8" r:id="rId8"/>
    <sheet name="11-6 續2完" sheetId="9" r:id="rId9"/>
    <sheet name="11-7" sheetId="10" r:id="rId10"/>
    <sheet name="11-8" sheetId="11" r:id="rId11"/>
    <sheet name="11-8 續 " sheetId="12" r:id="rId12"/>
    <sheet name="11-9" sheetId="13" r:id="rId13"/>
    <sheet name="11-10 " sheetId="14" r:id="rId14"/>
    <sheet name="11-10續 " sheetId="15" r:id="rId15"/>
    <sheet name="11-11 " sheetId="16" r:id="rId16"/>
    <sheet name="11-12 " sheetId="17" r:id="rId17"/>
    <sheet name="11-12續 " sheetId="18" r:id="rId18"/>
    <sheet name="11-13" sheetId="19" r:id="rId19"/>
    <sheet name="11-14 " sheetId="20" r:id="rId20"/>
    <sheet name="11-15 " sheetId="21" r:id="rId21"/>
    <sheet name="11-15續 " sheetId="22" r:id="rId22"/>
    <sheet name="11-16 " sheetId="23" r:id="rId23"/>
    <sheet name="11-17 " sheetId="24" r:id="rId24"/>
    <sheet name="11-18 " sheetId="25" r:id="rId25"/>
    <sheet name="11-18續" sheetId="26" r:id="rId26"/>
    <sheet name="11-19" sheetId="27" r:id="rId27"/>
    <sheet name="11-20 " sheetId="28" r:id="rId28"/>
    <sheet name="11-20 續1" sheetId="29" r:id="rId29"/>
    <sheet name="11-20續2 " sheetId="30" r:id="rId30"/>
    <sheet name="11-20續3完" sheetId="31" r:id="rId31"/>
    <sheet name="11-21" sheetId="32" r:id="rId32"/>
    <sheet name="11-22" sheetId="33" r:id="rId33"/>
    <sheet name="11-22續" sheetId="34" r:id="rId34"/>
  </sheets>
  <externalReferences>
    <externalReference r:id="rId37"/>
    <externalReference r:id="rId38"/>
    <externalReference r:id="rId39"/>
    <externalReference r:id="rId40"/>
  </externalReferences>
  <definedNames>
    <definedName name="pp">#REF!</definedName>
    <definedName name="pp1">#REF!</definedName>
    <definedName name="_xlnm.Print_Area" localSheetId="0">'11-1'!$A$1:$Q$18</definedName>
    <definedName name="_xlnm.Print_Area" localSheetId="14">'11-10續 '!$A$1:$N$21</definedName>
    <definedName name="_xlnm.Print_Area" localSheetId="15">'11-11 '!$A$1:$K$28</definedName>
    <definedName name="_xlnm.Print_Area" localSheetId="18">'11-13'!$A$1:$M$18</definedName>
    <definedName name="_xlnm.Print_Area" localSheetId="19">'11-14 '!$A$1:$R$19</definedName>
    <definedName name="_xlnm.Print_Area" localSheetId="20">'11-15 '!$A$1:$Y$24</definedName>
    <definedName name="_xlnm.Print_Area" localSheetId="22">'11-16 '!$A$1:$X$24</definedName>
    <definedName name="_xlnm.Print_Area" localSheetId="23">'11-17 '!$A$1:$V$26</definedName>
    <definedName name="_xlnm.Print_Area" localSheetId="25">'11-18續'!$A$1:$P$31</definedName>
    <definedName name="_xlnm.Print_Area" localSheetId="26">'11-19'!$A$1:$M$20</definedName>
    <definedName name="_xlnm.Print_Area" localSheetId="1">'11-2'!$A$1:$E$42</definedName>
    <definedName name="_xlnm.Print_Area" localSheetId="27">'11-20 '!$A$1:$P$35</definedName>
    <definedName name="_xlnm.Print_Area" localSheetId="28">'11-20 續1'!$A$1:$P$30</definedName>
    <definedName name="_xlnm.Print_Area" localSheetId="30">'11-20續3完'!$A$1:$P$32</definedName>
    <definedName name="_xlnm.Print_Area" localSheetId="33">'11-22續'!$A$1:$W$19</definedName>
    <definedName name="_xlnm.Print_Area" localSheetId="3">'11-3 續1'!$A$1:$O$17</definedName>
    <definedName name="_xlnm.Print_Area" localSheetId="4">'11-4'!$A$1:$T$46</definedName>
    <definedName name="_xlnm.Print_Area" localSheetId="5">'11-5'!$A$1:$W$35</definedName>
    <definedName name="_xlnm.Print_Area" localSheetId="6">'11-6'!$A$1:$U$34</definedName>
    <definedName name="_xlnm.Print_Area" localSheetId="8">'11-6 續2完'!$A$1:$Y$32</definedName>
    <definedName name="_xlnm.Print_Area" localSheetId="10">'11-8'!$A$1:$P$26</definedName>
    <definedName name="_xlnm.Print_Area" localSheetId="11">'11-8 續 '!$A$1:$M$19</definedName>
    <definedName name="_xlnm.Print_Area" localSheetId="12">'11-9'!$A$1:$W$25</definedName>
  </definedNames>
  <calcPr fullCalcOnLoad="1"/>
</workbook>
</file>

<file path=xl/comments11.xml><?xml version="1.0" encoding="utf-8"?>
<comments xmlns="http://schemas.openxmlformats.org/spreadsheetml/2006/main">
  <authors>
    <author>moi</author>
  </authors>
  <commentList>
    <comment ref="W4" authorId="0">
      <text>
        <r>
          <rPr>
            <b/>
            <sz val="9"/>
            <rFont val="新細明體"/>
            <family val="1"/>
          </rPr>
          <t>101年第3季修正</t>
        </r>
      </text>
    </comment>
  </commentList>
</comments>
</file>

<file path=xl/comments12.xml><?xml version="1.0" encoding="utf-8"?>
<comments xmlns="http://schemas.openxmlformats.org/spreadsheetml/2006/main">
  <authors>
    <author>林芳如</author>
  </authors>
  <commentList>
    <comment ref="B4" authorId="0">
      <text>
        <r>
          <rPr>
            <sz val="9"/>
            <rFont val="Tahoma"/>
            <family val="2"/>
          </rPr>
          <t xml:space="preserve">
10720-02-03-2</t>
        </r>
      </text>
    </comment>
    <comment ref="F4" authorId="0">
      <text>
        <r>
          <rPr>
            <sz val="9"/>
            <rFont val="Tahoma"/>
            <family val="2"/>
          </rPr>
          <t xml:space="preserve">
10720-02-02-2</t>
        </r>
      </text>
    </comment>
    <comment ref="H4" authorId="0">
      <text>
        <r>
          <rPr>
            <sz val="9"/>
            <rFont val="Tahoma"/>
            <family val="2"/>
          </rPr>
          <t xml:space="preserve">
10720-02-02-2</t>
        </r>
      </text>
    </comment>
    <comment ref="J4" authorId="0">
      <text>
        <r>
          <rPr>
            <sz val="9"/>
            <rFont val="Tahoma"/>
            <family val="2"/>
          </rPr>
          <t>10720-02-04-2</t>
        </r>
      </text>
    </comment>
  </commentList>
</comments>
</file>

<file path=xl/comments13.xml><?xml version="1.0" encoding="utf-8"?>
<comments xmlns="http://schemas.openxmlformats.org/spreadsheetml/2006/main">
  <authors>
    <author>李文琳</author>
    <author>林芳如</author>
  </authors>
  <commentList>
    <comment ref="T14" authorId="0">
      <text>
        <r>
          <rPr>
            <b/>
            <sz val="14"/>
            <rFont val="細明體"/>
            <family val="3"/>
          </rPr>
          <t>因拆表作業，系統查不到104資料，採紙本報表數字(照顧中低收入戶概況之服務人次)</t>
        </r>
      </text>
    </comment>
    <comment ref="V16" authorId="1">
      <text>
        <r>
          <rPr>
            <b/>
            <sz val="9"/>
            <rFont val="細明體"/>
            <family val="3"/>
          </rPr>
          <t>問題:報表與系統資料不一致(5/9發現)</t>
        </r>
      </text>
    </comment>
    <comment ref="W16" authorId="1">
      <text>
        <r>
          <rPr>
            <b/>
            <sz val="9"/>
            <rFont val="細明體"/>
            <family val="3"/>
          </rPr>
          <t>問題</t>
        </r>
        <r>
          <rPr>
            <b/>
            <sz val="9"/>
            <rFont val="Tahoma"/>
            <family val="2"/>
          </rPr>
          <t>:</t>
        </r>
        <r>
          <rPr>
            <b/>
            <sz val="9"/>
            <rFont val="細明體"/>
            <family val="3"/>
          </rPr>
          <t>報表與系統資料不一致</t>
        </r>
        <r>
          <rPr>
            <b/>
            <sz val="9"/>
            <rFont val="Tahoma"/>
            <family val="2"/>
          </rPr>
          <t>(5/9</t>
        </r>
        <r>
          <rPr>
            <b/>
            <sz val="9"/>
            <rFont val="細明體"/>
            <family val="3"/>
          </rPr>
          <t>發現</t>
        </r>
        <r>
          <rPr>
            <b/>
            <sz val="9"/>
            <rFont val="Tahoma"/>
            <family val="2"/>
          </rPr>
          <t>)</t>
        </r>
      </text>
    </comment>
  </commentList>
</comments>
</file>

<file path=xl/comments15.xml><?xml version="1.0" encoding="utf-8"?>
<comments xmlns="http://schemas.openxmlformats.org/spreadsheetml/2006/main">
  <authors>
    <author>李文琳</author>
  </authors>
  <commentList>
    <comment ref="F19" authorId="0">
      <text>
        <r>
          <rPr>
            <b/>
            <sz val="9"/>
            <rFont val="細明體"/>
            <family val="3"/>
          </rPr>
          <t>李文琳</t>
        </r>
        <r>
          <rPr>
            <b/>
            <sz val="9"/>
            <rFont val="Tahoma"/>
            <family val="2"/>
          </rPr>
          <t>:</t>
        </r>
        <r>
          <rPr>
            <sz val="9"/>
            <rFont val="Tahoma"/>
            <family val="2"/>
          </rPr>
          <t xml:space="preserve">
</t>
        </r>
        <r>
          <rPr>
            <sz val="9"/>
            <rFont val="細明體"/>
            <family val="3"/>
          </rPr>
          <t>與承辦人確認，104年1月起人數逐漸下降</t>
        </r>
      </text>
    </comment>
  </commentList>
</comments>
</file>

<file path=xl/comments16.xml><?xml version="1.0" encoding="utf-8"?>
<comments xmlns="http://schemas.openxmlformats.org/spreadsheetml/2006/main">
  <authors>
    <author>林芳如</author>
  </authors>
  <commentList>
    <comment ref="J8" authorId="0">
      <text>
        <r>
          <rPr>
            <b/>
            <sz val="9"/>
            <rFont val="細明體"/>
            <family val="3"/>
          </rPr>
          <t>10720-05-01-2 低收入戶及低收入戶比照低收入戶門診</t>
        </r>
      </text>
    </comment>
    <comment ref="F6" authorId="0">
      <text>
        <r>
          <rPr>
            <sz val="9"/>
            <rFont val="細明體"/>
            <family val="3"/>
          </rPr>
          <t>限額醫療補助-受益人次</t>
        </r>
        <r>
          <rPr>
            <sz val="9"/>
            <rFont val="Tahoma"/>
            <family val="2"/>
          </rPr>
          <t xml:space="preserve">
</t>
        </r>
      </text>
    </comment>
  </commentList>
</comments>
</file>

<file path=xl/comments19.xml><?xml version="1.0" encoding="utf-8"?>
<comments xmlns="http://schemas.openxmlformats.org/spreadsheetml/2006/main">
  <authors>
    <author>李文琳</author>
    <author>林芳如</author>
  </authors>
  <commentList>
    <comment ref="B13" authorId="0">
      <text>
        <r>
          <rPr>
            <b/>
            <sz val="9"/>
            <rFont val="細明體"/>
            <family val="3"/>
          </rPr>
          <t>李文琳</t>
        </r>
        <r>
          <rPr>
            <b/>
            <sz val="9"/>
            <rFont val="Tahoma"/>
            <family val="2"/>
          </rPr>
          <t>:</t>
        </r>
        <r>
          <rPr>
            <sz val="9"/>
            <rFont val="Tahoma"/>
            <family val="2"/>
          </rPr>
          <t xml:space="preserve">
4</t>
        </r>
        <r>
          <rPr>
            <sz val="9"/>
            <rFont val="細明體"/>
            <family val="3"/>
          </rPr>
          <t>季</t>
        </r>
        <r>
          <rPr>
            <sz val="9"/>
            <rFont val="Tahoma"/>
            <family val="2"/>
          </rPr>
          <t>1+2+1+1=5</t>
        </r>
      </text>
    </comment>
    <comment ref="B14" authorId="0">
      <text>
        <r>
          <rPr>
            <b/>
            <sz val="9"/>
            <rFont val="細明體"/>
            <family val="3"/>
          </rPr>
          <t>李文琳</t>
        </r>
        <r>
          <rPr>
            <b/>
            <sz val="9"/>
            <rFont val="Tahoma"/>
            <family val="2"/>
          </rPr>
          <t>:</t>
        </r>
        <r>
          <rPr>
            <sz val="9"/>
            <rFont val="Tahoma"/>
            <family val="2"/>
          </rPr>
          <t xml:space="preserve">
5+6+8+4</t>
        </r>
      </text>
    </comment>
    <comment ref="B15" authorId="1">
      <text>
        <r>
          <rPr>
            <b/>
            <sz val="9"/>
            <rFont val="細明體"/>
            <family val="3"/>
          </rPr>
          <t>林芳如</t>
        </r>
        <r>
          <rPr>
            <b/>
            <sz val="9"/>
            <rFont val="Tahoma"/>
            <family val="2"/>
          </rPr>
          <t>:</t>
        </r>
        <r>
          <rPr>
            <sz val="9"/>
            <rFont val="Tahoma"/>
            <family val="2"/>
          </rPr>
          <t xml:space="preserve">
8+6+8+0</t>
        </r>
      </text>
    </comment>
    <comment ref="B16" authorId="1">
      <text>
        <r>
          <rPr>
            <b/>
            <sz val="9"/>
            <rFont val="細明體"/>
            <family val="3"/>
          </rPr>
          <t>林芳如</t>
        </r>
        <r>
          <rPr>
            <b/>
            <sz val="9"/>
            <rFont val="Tahoma"/>
            <family val="2"/>
          </rPr>
          <t>:</t>
        </r>
        <r>
          <rPr>
            <sz val="9"/>
            <rFont val="Tahoma"/>
            <family val="2"/>
          </rPr>
          <t xml:space="preserve">
9+10+7+2</t>
        </r>
      </text>
    </comment>
  </commentList>
</comments>
</file>

<file path=xl/comments20.xml><?xml version="1.0" encoding="utf-8"?>
<comments xmlns="http://schemas.openxmlformats.org/spreadsheetml/2006/main">
  <authors>
    <author>李文琳</author>
  </authors>
  <commentList>
    <comment ref="I5" authorId="0">
      <text>
        <r>
          <rPr>
            <b/>
            <sz val="9"/>
            <rFont val="細明體"/>
            <family val="3"/>
          </rPr>
          <t>李文琳</t>
        </r>
        <r>
          <rPr>
            <b/>
            <sz val="9"/>
            <rFont val="Tahoma"/>
            <family val="2"/>
          </rPr>
          <t>:</t>
        </r>
        <r>
          <rPr>
            <sz val="9"/>
            <rFont val="Tahoma"/>
            <family val="2"/>
          </rPr>
          <t xml:space="preserve">
</t>
        </r>
        <r>
          <rPr>
            <sz val="9"/>
            <rFont val="細明體"/>
            <family val="3"/>
          </rPr>
          <t>配合103年公務統計報表修訂，新增統計項目</t>
        </r>
      </text>
    </comment>
  </commentList>
</comments>
</file>

<file path=xl/comments21.xml><?xml version="1.0" encoding="utf-8"?>
<comments xmlns="http://schemas.openxmlformats.org/spreadsheetml/2006/main">
  <authors>
    <author>李文琳</author>
  </authors>
  <commentList>
    <comment ref="G21" authorId="0">
      <text>
        <r>
          <rPr>
            <b/>
            <sz val="9"/>
            <rFont val="細明體"/>
            <family val="3"/>
          </rPr>
          <t>李文琳</t>
        </r>
        <r>
          <rPr>
            <b/>
            <sz val="9"/>
            <rFont val="Tahoma"/>
            <family val="2"/>
          </rPr>
          <t>:</t>
        </r>
        <r>
          <rPr>
            <b/>
            <sz val="9"/>
            <rFont val="細明體"/>
            <family val="3"/>
          </rPr>
          <t>社會局所報資料未符，經查報送系統，應為有修正未報送修正表</t>
        </r>
      </text>
    </comment>
  </commentList>
</comments>
</file>

<file path=xl/comments23.xml><?xml version="1.0" encoding="utf-8"?>
<comments xmlns="http://schemas.openxmlformats.org/spreadsheetml/2006/main">
  <authors>
    <author>林芳如</author>
  </authors>
  <commentList>
    <comment ref="R4" authorId="0">
      <text>
        <r>
          <rPr>
            <sz val="9"/>
            <rFont val="Tahoma"/>
            <family val="2"/>
          </rPr>
          <t>10730-02-03-2</t>
        </r>
      </text>
    </comment>
  </commentList>
</comments>
</file>

<file path=xl/comments24.xml><?xml version="1.0" encoding="utf-8"?>
<comments xmlns="http://schemas.openxmlformats.org/spreadsheetml/2006/main">
  <authors>
    <author>林芳如</author>
    <author>李文琳</author>
  </authors>
  <commentList>
    <comment ref="S14" authorId="0">
      <text>
        <r>
          <rPr>
            <b/>
            <sz val="9"/>
            <rFont val="細明體"/>
            <family val="3"/>
          </rPr>
          <t>請教育局終身學習科提供資料</t>
        </r>
      </text>
    </comment>
    <comment ref="E17" authorId="1">
      <text>
        <r>
          <rPr>
            <b/>
            <sz val="9"/>
            <rFont val="細明體"/>
            <family val="3"/>
          </rPr>
          <t>李文琳</t>
        </r>
        <r>
          <rPr>
            <b/>
            <sz val="9"/>
            <rFont val="Tahoma"/>
            <family val="2"/>
          </rPr>
          <t>:</t>
        </r>
        <r>
          <rPr>
            <sz val="9"/>
            <rFont val="Tahoma"/>
            <family val="2"/>
          </rPr>
          <t xml:space="preserve">
</t>
        </r>
        <r>
          <rPr>
            <sz val="9"/>
            <rFont val="細明體"/>
            <family val="3"/>
          </rPr>
          <t xml:space="preserve">托嬰中心概況報表中托預人員總計
</t>
        </r>
      </text>
    </comment>
    <comment ref="F17" authorId="1">
      <text>
        <r>
          <rPr>
            <b/>
            <sz val="9"/>
            <rFont val="細明體"/>
            <family val="3"/>
          </rPr>
          <t>李文琳</t>
        </r>
        <r>
          <rPr>
            <b/>
            <sz val="9"/>
            <rFont val="Tahoma"/>
            <family val="2"/>
          </rPr>
          <t>:</t>
        </r>
        <r>
          <rPr>
            <sz val="9"/>
            <rFont val="Tahoma"/>
            <family val="2"/>
          </rPr>
          <t xml:space="preserve">
</t>
        </r>
        <r>
          <rPr>
            <sz val="9"/>
            <rFont val="細明體"/>
            <family val="3"/>
          </rPr>
          <t>托嬰中心概況報表中(教保+助理)+兒童課後照顧服務中心之教保(含助理)員數</t>
        </r>
      </text>
    </comment>
  </commentList>
</comments>
</file>

<file path=xl/comments26.xml><?xml version="1.0" encoding="utf-8"?>
<comments xmlns="http://schemas.openxmlformats.org/spreadsheetml/2006/main">
  <authors>
    <author>林芳如</author>
  </authors>
  <commentList>
    <comment ref="A2" authorId="0">
      <text>
        <r>
          <rPr>
            <b/>
            <sz val="9"/>
            <rFont val="細明體"/>
            <family val="3"/>
          </rPr>
          <t>報表 家庭福利服務</t>
        </r>
      </text>
    </comment>
    <comment ref="F30" authorId="0">
      <text>
        <r>
          <rPr>
            <b/>
            <sz val="12"/>
            <rFont val="細明體"/>
            <family val="3"/>
          </rPr>
          <t>106年由委外辦理改自辦，故人數下降</t>
        </r>
      </text>
    </comment>
  </commentList>
</comments>
</file>

<file path=xl/comments32.xml><?xml version="1.0" encoding="utf-8"?>
<comments xmlns="http://schemas.openxmlformats.org/spreadsheetml/2006/main">
  <authors>
    <author>李文琳</author>
  </authors>
  <commentList>
    <comment ref="A2" authorId="0">
      <text>
        <r>
          <rPr>
            <b/>
            <sz val="9"/>
            <rFont val="細明體"/>
            <family val="3"/>
          </rPr>
          <t>資料來源</t>
        </r>
        <r>
          <rPr>
            <b/>
            <sz val="9"/>
            <rFont val="Tahoma"/>
            <family val="2"/>
          </rPr>
          <t xml:space="preserve">:http://www.mohw.gov.tw/cht/DOS/Statistic.aspx?f_list_no=312&amp;fod_list_no=2218
</t>
        </r>
        <r>
          <rPr>
            <b/>
            <sz val="9"/>
            <rFont val="細明體"/>
            <family val="3"/>
          </rPr>
          <t>一覽表之</t>
        </r>
        <r>
          <rPr>
            <b/>
            <sz val="9"/>
            <rFont val="Tahoma"/>
            <family val="2"/>
          </rPr>
          <t>1042-2</t>
        </r>
      </text>
    </comment>
    <comment ref="B4" authorId="0">
      <text>
        <r>
          <rPr>
            <b/>
            <sz val="9"/>
            <rFont val="細明體"/>
            <family val="3"/>
          </rPr>
          <t>http://www.mohw.gov.tw/cht/DOS/Statistic.aspx?f_list_no=312&amp;fod_list_no=4189
表13.1</t>
        </r>
      </text>
    </comment>
  </commentList>
</comments>
</file>

<file path=xl/comments33.xml><?xml version="1.0" encoding="utf-8"?>
<comments xmlns="http://schemas.openxmlformats.org/spreadsheetml/2006/main">
  <authors>
    <author>李文琳</author>
  </authors>
  <commentList>
    <comment ref="A2" authorId="0">
      <text>
        <r>
          <rPr>
            <b/>
            <sz val="9"/>
            <rFont val="細明體"/>
            <family val="3"/>
          </rPr>
          <t>資料來源</t>
        </r>
        <r>
          <rPr>
            <b/>
            <sz val="9"/>
            <rFont val="Tahoma"/>
            <family val="2"/>
          </rPr>
          <t xml:space="preserve">:http://www.mohw.gov.tw/cht/DOS/Statistic.aspx?f_list_no=312&amp;fod_list_no=4188
</t>
        </r>
        <r>
          <rPr>
            <sz val="9"/>
            <rFont val="Tahoma"/>
            <family val="2"/>
          </rPr>
          <t xml:space="preserve">
</t>
        </r>
      </text>
    </comment>
  </commentList>
</comments>
</file>

<file path=xl/comments34.xml><?xml version="1.0" encoding="utf-8"?>
<comments xmlns="http://schemas.openxmlformats.org/spreadsheetml/2006/main">
  <authors>
    <author>李文琳</author>
  </authors>
  <commentList>
    <comment ref="K4" authorId="0">
      <text>
        <r>
          <rPr>
            <b/>
            <sz val="9"/>
            <rFont val="細明體"/>
            <family val="3"/>
          </rPr>
          <t>資料來源</t>
        </r>
        <r>
          <rPr>
            <b/>
            <sz val="9"/>
            <rFont val="Tahoma"/>
            <family val="2"/>
          </rPr>
          <t xml:space="preserve">:http://www.mohw.gov.tw/cht/DOS/Statistic.aspx?f_list_no=312&amp;fod_list_no=2218
</t>
        </r>
        <r>
          <rPr>
            <sz val="9"/>
            <rFont val="Tahoma"/>
            <family val="2"/>
          </rPr>
          <t xml:space="preserve">
</t>
        </r>
        <r>
          <rPr>
            <sz val="9"/>
            <rFont val="細明體"/>
            <family val="3"/>
          </rPr>
          <t>一覽表之1041-2</t>
        </r>
      </text>
    </comment>
  </commentList>
</comments>
</file>

<file path=xl/comments4.xml><?xml version="1.0" encoding="utf-8"?>
<comments xmlns="http://schemas.openxmlformats.org/spreadsheetml/2006/main">
  <authors>
    <author>李文琳</author>
  </authors>
  <commentList>
    <comment ref="I6" authorId="0">
      <text>
        <r>
          <rPr>
            <b/>
            <sz val="9"/>
            <rFont val="細明體"/>
            <family val="3"/>
          </rPr>
          <t>李文琳</t>
        </r>
        <r>
          <rPr>
            <b/>
            <sz val="9"/>
            <rFont val="Tahoma"/>
            <family val="2"/>
          </rPr>
          <t>:</t>
        </r>
        <r>
          <rPr>
            <b/>
            <sz val="9"/>
            <rFont val="細明體"/>
            <family val="3"/>
          </rPr>
          <t>報表之欄位"圖書閱覽室數"+"其他"</t>
        </r>
        <r>
          <rPr>
            <sz val="9"/>
            <rFont val="Tahoma"/>
            <family val="2"/>
          </rPr>
          <t xml:space="preserve">
</t>
        </r>
      </text>
    </comment>
  </commentList>
</comments>
</file>

<file path=xl/sharedStrings.xml><?xml version="1.0" encoding="utf-8"?>
<sst xmlns="http://schemas.openxmlformats.org/spreadsheetml/2006/main" count="3326" uniqueCount="1470">
  <si>
    <t>Social Welfare</t>
  </si>
  <si>
    <t>Table 11-1. The Number of the Civic Association at All Levels</t>
  </si>
  <si>
    <t>Unit : Units</t>
  </si>
  <si>
    <t>Occupational Associations</t>
  </si>
  <si>
    <t>Social Associations</t>
  </si>
  <si>
    <t>End of Year</t>
  </si>
  <si>
    <t>Total</t>
  </si>
  <si>
    <t>Farmer's
Associations</t>
  </si>
  <si>
    <t>Fisherman's
Associations</t>
  </si>
  <si>
    <t>Labor
Organizations</t>
  </si>
  <si>
    <t>Industral
Associations</t>
  </si>
  <si>
    <t>Commercial
Associations</t>
  </si>
  <si>
    <t>Liberal
Profession
Associations</t>
  </si>
  <si>
    <t>Total</t>
  </si>
  <si>
    <t>Academic
&amp; Cultural
Associations</t>
  </si>
  <si>
    <t>Medical
Associations</t>
  </si>
  <si>
    <t>Religious
Associations</t>
  </si>
  <si>
    <t>Sports
Associations</t>
  </si>
  <si>
    <t>Social Services
&amp; Charity
Associations</t>
  </si>
  <si>
    <t>International
Associations</t>
  </si>
  <si>
    <t>Economic
Business
Associations</t>
  </si>
  <si>
    <t>Others</t>
  </si>
  <si>
    <t>Source : Council of Agriculture, Executive Yuan, Ministry of Labor and Department of Social Welfare, Taoyuan City Gov.</t>
  </si>
  <si>
    <t>Table 11-2. The General Conditions of Religions</t>
  </si>
  <si>
    <t>End of Year, Religions</t>
  </si>
  <si>
    <t>Temples and Churches
(Places)</t>
  </si>
  <si>
    <t>No. of Clergies
(Persons)</t>
  </si>
  <si>
    <t>No. of Followers of 
Temples and Churches
(Persons)</t>
  </si>
  <si>
    <t>End of 2008</t>
  </si>
  <si>
    <t>End of 2009</t>
  </si>
  <si>
    <t>End of 2010</t>
  </si>
  <si>
    <t>End of 2011</t>
  </si>
  <si>
    <t>End of 2012</t>
  </si>
  <si>
    <t>End of 2013</t>
  </si>
  <si>
    <t>End of 2014</t>
  </si>
  <si>
    <t>…</t>
  </si>
  <si>
    <t>End of 2015</t>
  </si>
  <si>
    <t>Daoism</t>
  </si>
  <si>
    <t>Buddhism</t>
  </si>
  <si>
    <t>Yi Guan Dao</t>
  </si>
  <si>
    <t>Li-ism</t>
  </si>
  <si>
    <t>Others</t>
  </si>
  <si>
    <t>-</t>
  </si>
  <si>
    <t>Catholicism</t>
  </si>
  <si>
    <t>Protestantism</t>
  </si>
  <si>
    <t>Islamism</t>
  </si>
  <si>
    <t>Source : Department of Civil Affairs, Taoyuan City Gov.</t>
  </si>
  <si>
    <t xml:space="preserve">         2. The number of followers of temples and churches is according to the regulation of the religions.</t>
  </si>
  <si>
    <t xml:space="preserve">         3. Since 2014 the number of clergies and followers of churches are not be gathered by Department of Civil Affairs, Taoyuan City Gov,  </t>
  </si>
  <si>
    <t>Social Welfare</t>
  </si>
  <si>
    <t>Table 11-3. General Conditions of Social Services of Religions</t>
  </si>
  <si>
    <t>Unit : Places</t>
  </si>
  <si>
    <t>Medical Institutions</t>
  </si>
  <si>
    <t>End of Year</t>
  </si>
  <si>
    <t>Hospitals</t>
  </si>
  <si>
    <t>Clinics</t>
  </si>
  <si>
    <t>End of 2009</t>
  </si>
  <si>
    <t>End of 2010</t>
  </si>
  <si>
    <t>End of 2012</t>
  </si>
  <si>
    <t>-</t>
  </si>
  <si>
    <t>End of 2013</t>
  </si>
  <si>
    <t>End of 2014</t>
  </si>
  <si>
    <t>End of 2015</t>
  </si>
  <si>
    <t>Source : Ministry of the Interior.</t>
  </si>
  <si>
    <t>Social Welfare</t>
  </si>
  <si>
    <t>Table 11-3. General Conditions of Social Services of Religions (Cont.)</t>
  </si>
  <si>
    <t>Unit : Places</t>
  </si>
  <si>
    <t>Cultural Institutions</t>
  </si>
  <si>
    <t>Public Welfare &amp; Charity Work</t>
  </si>
  <si>
    <t>End of Year</t>
  </si>
  <si>
    <t>Universities 
&amp; Colleges</t>
  </si>
  <si>
    <t>Junior
Colleges</t>
  </si>
  <si>
    <t>Vocational
Schools</t>
  </si>
  <si>
    <t>Junior &amp; Senior High Schools</t>
  </si>
  <si>
    <t>Primary Schools</t>
  </si>
  <si>
    <t>Preschools</t>
  </si>
  <si>
    <t>Others</t>
  </si>
  <si>
    <t>Institutions for the Disabled</t>
  </si>
  <si>
    <t>Institutions for the Youth Guidance</t>
  </si>
  <si>
    <t>Welfare Fundations</t>
  </si>
  <si>
    <t>End of 2012</t>
  </si>
  <si>
    <t>End of 2013</t>
  </si>
  <si>
    <t>-</t>
  </si>
  <si>
    <t>End of 2014</t>
  </si>
  <si>
    <t>Table 11-4. General Conditions of Cooperatives</t>
  </si>
  <si>
    <t>No. of Members (Persons)</t>
  </si>
  <si>
    <t>Individual Members</t>
  </si>
  <si>
    <t>Members
in Law</t>
  </si>
  <si>
    <t>End of Year, Kinds</t>
  </si>
  <si>
    <t>Total</t>
  </si>
  <si>
    <t>Male</t>
  </si>
  <si>
    <t>Female</t>
  </si>
  <si>
    <t>…</t>
  </si>
  <si>
    <t>End of 2008</t>
  </si>
  <si>
    <t>End of 2009</t>
  </si>
  <si>
    <t>End of 2010</t>
  </si>
  <si>
    <t>End of 2011</t>
  </si>
  <si>
    <t>End of 2012</t>
  </si>
  <si>
    <t>End of 2013</t>
  </si>
  <si>
    <t>End of 2014</t>
  </si>
  <si>
    <t>End of 2015</t>
  </si>
  <si>
    <t>Single-Purpose C.S.</t>
  </si>
  <si>
    <t>Agricultural C.S.</t>
  </si>
  <si>
    <t>Agricultural Production C.S.</t>
  </si>
  <si>
    <t>Agricultural Shipping and Marketing C.S.</t>
  </si>
  <si>
    <t>Agricultural Labor C.S.</t>
  </si>
  <si>
    <t>Industry C.S.</t>
  </si>
  <si>
    <t>Industrial Production C.S.</t>
  </si>
  <si>
    <t>Industrial Shipping and Marketing C.S.</t>
  </si>
  <si>
    <t>Industrial Supply C.S.</t>
  </si>
  <si>
    <t>Industrial Utilities C.S.</t>
  </si>
  <si>
    <t>Industrial Labor C.S</t>
  </si>
  <si>
    <t xml:space="preserve">Industrial Transport C.S. </t>
  </si>
  <si>
    <t>Aborigine Labor C.S.</t>
  </si>
  <si>
    <t>Consumption C.S.</t>
  </si>
  <si>
    <t xml:space="preserve">District C.S.  </t>
  </si>
  <si>
    <t xml:space="preserve">Labor C.S. </t>
  </si>
  <si>
    <t xml:space="preserve">Civic Organization C.S.   </t>
  </si>
  <si>
    <t xml:space="preserve">Organization C.S. </t>
  </si>
  <si>
    <t xml:space="preserve">School C.S. </t>
  </si>
  <si>
    <t>Public Utility C.S.</t>
  </si>
  <si>
    <t>Insurance C.S.</t>
  </si>
  <si>
    <t>Multi-Purpose C.S.</t>
  </si>
  <si>
    <t>District General C.S.</t>
  </si>
  <si>
    <t>Community C.S.</t>
  </si>
  <si>
    <t>Cooperative Farm C.S.</t>
  </si>
  <si>
    <t>Source : Department of Social Welfare, Taoyuan City Gov.</t>
  </si>
  <si>
    <t>Social Welfare</t>
  </si>
  <si>
    <t>Table 11-5. Achievements of Community Development</t>
  </si>
  <si>
    <t>Outlay (NT$)</t>
  </si>
  <si>
    <t>Main Items of Community Development</t>
  </si>
  <si>
    <t>Fiscal Year,
District</t>
  </si>
  <si>
    <t>No. of
Community
Development
Associations
(Units)</t>
  </si>
  <si>
    <t>No. of
Households
 of
Communities
(Households)</t>
  </si>
  <si>
    <t>No. of
Population
of
Communities
(Persons)</t>
  </si>
  <si>
    <t>No. of
Directors
and
Supervisors
(Persons)</t>
  </si>
  <si>
    <t>Persons of
Community
Development
Associations
(Persons)</t>
  </si>
  <si>
    <t>Community
Economic
Development
Fund
(Units)</t>
  </si>
  <si>
    <t>Government-
provided</t>
  </si>
  <si>
    <t>Self-
provided</t>
  </si>
  <si>
    <t>Community
Activity
Centers
(Units)</t>
  </si>
  <si>
    <t>Topic Training (Person-times)</t>
  </si>
  <si>
    <t>Community Exposition (Person-times)</t>
  </si>
  <si>
    <t>Elderly Community Club
(Places)</t>
  </si>
  <si>
    <t>Community Growth Room
(Classes)</t>
  </si>
  <si>
    <t>Community Mutual-help Programs (Teams)</t>
  </si>
  <si>
    <t>Community Folk Custom Arts and Recreation Squads (Teams)</t>
  </si>
  <si>
    <t>Teams
(Groups)</t>
  </si>
  <si>
    <t>No. of
Volunteers
(Persons)</t>
  </si>
  <si>
    <t>Community Care Centers
(Places)</t>
  </si>
  <si>
    <t>Community Libraries (Places)</t>
  </si>
  <si>
    <t>Community Publications (Serials)</t>
  </si>
  <si>
    <t>Welfare
Services or
Activities
(Beneficiary-times)</t>
  </si>
  <si>
    <t>Other
Services
(Beneficiary
-times)</t>
  </si>
  <si>
    <t>…</t>
  </si>
  <si>
    <t>Source : Department of Social Welfare, Taoyuan City Gov.</t>
  </si>
  <si>
    <t>Table 11-6. The Disabled Population</t>
  </si>
  <si>
    <t>Unit : Persons</t>
  </si>
  <si>
    <t>With Disability Manual by Old System</t>
  </si>
  <si>
    <t>End of Year,
District</t>
  </si>
  <si>
    <t>Grand Total</t>
  </si>
  <si>
    <t>Total</t>
  </si>
  <si>
    <t>Vision
Disability</t>
  </si>
  <si>
    <t>Hearing
Dysfunction</t>
  </si>
  <si>
    <t>Balance
Dysfunction</t>
  </si>
  <si>
    <t>Voice or Speech
Dysfunction</t>
  </si>
  <si>
    <t>Limbs
Disability</t>
  </si>
  <si>
    <t>Mental
Disability</t>
  </si>
  <si>
    <t>Losing Functions of
Primary Organs</t>
  </si>
  <si>
    <t>Male</t>
  </si>
  <si>
    <t>Female</t>
  </si>
  <si>
    <t>Male</t>
  </si>
  <si>
    <t>Female</t>
  </si>
  <si>
    <t>Source : Department of Social Welfare, Taoyuan City Gov.</t>
  </si>
  <si>
    <t>Social Welfare</t>
  </si>
  <si>
    <t>Table 11-6. The Disabled Population (Cont. 1)</t>
  </si>
  <si>
    <t>Unit : Persons</t>
  </si>
  <si>
    <t>With Disability Manual by Old System</t>
  </si>
  <si>
    <t>End of Year,
District</t>
  </si>
  <si>
    <t>Suffering Facial Damage</t>
  </si>
  <si>
    <t>Vegetative State</t>
  </si>
  <si>
    <t>Dementia</t>
  </si>
  <si>
    <t>Autism</t>
  </si>
  <si>
    <t>Chronic Psychosis</t>
  </si>
  <si>
    <t>Multi-Disability</t>
  </si>
  <si>
    <t>Stubborn (Difficult-to-Cure) Epilepsy</t>
  </si>
  <si>
    <t>Caused by Infrequent Disease</t>
  </si>
  <si>
    <t>Others</t>
  </si>
  <si>
    <t>Social Welfare</t>
  </si>
  <si>
    <t>Table 11-6. The Disabled Population (Cont. 2 End)</t>
  </si>
  <si>
    <t>Unit : Persons</t>
  </si>
  <si>
    <t>With Disability Manual by New System</t>
  </si>
  <si>
    <t>End of Year,
District</t>
  </si>
  <si>
    <t>Total</t>
  </si>
  <si>
    <t>Mental Functions &amp; Structures of the Nervous System</t>
  </si>
  <si>
    <t>Sensory Functions &amp; Pain; The Eye, Ear and Related Structures</t>
  </si>
  <si>
    <t>Functions &amp; Structures of / Involved in Voice and Speech</t>
  </si>
  <si>
    <t>Functions &amp; Structures of / Related to the Cardiovascular, Haematological, Immunological and Respiratory Systems</t>
  </si>
  <si>
    <t>Functions &amp; Structures of / Related to the Digestive, Metabolic and Endocrine Systems</t>
  </si>
  <si>
    <t>Functions &amp; Structures of / Related to the Genitourinary and Reproductive Systems</t>
  </si>
  <si>
    <t>Neuromusculoskeletal and Movement Related Functions &amp; Structures</t>
  </si>
  <si>
    <t>Functions &amp; Related Structures of the Skin</t>
  </si>
  <si>
    <t>More than two Classifications</t>
  </si>
  <si>
    <t>Not Classified Temporarily</t>
  </si>
  <si>
    <t>The Disabled as a Percentage of Total Population</t>
  </si>
  <si>
    <t>Male</t>
  </si>
  <si>
    <t>Female</t>
  </si>
  <si>
    <t>-</t>
  </si>
  <si>
    <t>…</t>
  </si>
  <si>
    <t>Social Welfare</t>
  </si>
  <si>
    <t>Table 11-7. The Conditions of Welfare Services Institutions for the Disabled</t>
  </si>
  <si>
    <t>Unit : Places, Persons, Person-times, NT$1,000</t>
  </si>
  <si>
    <t>Welfare Institutions for the Disabled (End of Year)</t>
  </si>
  <si>
    <t>Living Assistance</t>
  </si>
  <si>
    <t>Auxiliary Appliances Assistance</t>
  </si>
  <si>
    <t>Subsidies for Nursing and the
Maintenance Expenses</t>
  </si>
  <si>
    <t>Year</t>
  </si>
  <si>
    <t>No. of Institutions</t>
  </si>
  <si>
    <t>Lodged Persons</t>
  </si>
  <si>
    <t>Person-times</t>
  </si>
  <si>
    <t>Amount</t>
  </si>
  <si>
    <t>Source : Department of Social Welfare, Taoyuan City Gov.</t>
  </si>
  <si>
    <t>Table 11-8. Persons and Living Assistance of Low-income Families</t>
  </si>
  <si>
    <t>Unit : Households, Persons, Person-times, Household-times, NT$1,000</t>
  </si>
  <si>
    <t>Grand Total (End of Year)</t>
  </si>
  <si>
    <t>Class 1</t>
  </si>
  <si>
    <t>Class 2</t>
  </si>
  <si>
    <t>Class 3</t>
  </si>
  <si>
    <t>Family Living Support</t>
  </si>
  <si>
    <t>Student Living Assistance</t>
  </si>
  <si>
    <t xml:space="preserve"> </t>
  </si>
  <si>
    <t>Year</t>
  </si>
  <si>
    <t>Households</t>
  </si>
  <si>
    <t>As a Percentage of Total Households of the City</t>
  </si>
  <si>
    <t>Persons</t>
  </si>
  <si>
    <t>As a Percentage of Total Population of the City</t>
  </si>
  <si>
    <t>Person-times</t>
  </si>
  <si>
    <t>Household-
times</t>
  </si>
  <si>
    <t>Times of Persons</t>
  </si>
  <si>
    <t>Amount
 (NT.$)</t>
  </si>
  <si>
    <t>Times of Households</t>
  </si>
  <si>
    <t>Amount
(NT.$)</t>
  </si>
  <si>
    <t>Social Welfare</t>
  </si>
  <si>
    <t>Table 11-8. Persons and Living Assistance of Low-Income Families (Cont.)</t>
  </si>
  <si>
    <t>Unit : Persons, Person-times, NT$1,000, Household-times</t>
  </si>
  <si>
    <t>Social Welfare</t>
  </si>
  <si>
    <t>Unit : Households, Persons, Person-times, NT$1,000</t>
  </si>
  <si>
    <t>Employment Counseling</t>
  </si>
  <si>
    <t>Nutrition Subsidies for Puerperas and Infants</t>
  </si>
  <si>
    <t>Nursing
Subsidies</t>
  </si>
  <si>
    <t>Education
Subsidies</t>
  </si>
  <si>
    <t>Funeral
Subsidies</t>
  </si>
  <si>
    <t>Home Care
Services</t>
  </si>
  <si>
    <t>Procreation
Subsidies</t>
  </si>
  <si>
    <t>Other Necessary Assistance and Services</t>
  </si>
  <si>
    <t>-</t>
  </si>
  <si>
    <t>Unit : Persons , NT$1,000</t>
  </si>
  <si>
    <t>Living Allowance for Mid or Low Income Elders</t>
  </si>
  <si>
    <t>Class 1</t>
  </si>
  <si>
    <t>Class 2</t>
  </si>
  <si>
    <t>Class 3</t>
  </si>
  <si>
    <t>Amount</t>
  </si>
  <si>
    <t>Total</t>
  </si>
  <si>
    <t>Old-Age Farmers Welfare Allowance</t>
  </si>
  <si>
    <t>No. of Persons Receiving</t>
  </si>
  <si>
    <t>No. of Amount Receiving</t>
  </si>
  <si>
    <t>Allowance Beneficiaries as a Percentage of Population of the Aged 65 and Over
(%)</t>
  </si>
  <si>
    <t>Table 11-11. General Conditions of Social Assistance in Medical Subsidies</t>
  </si>
  <si>
    <t>Unit : Person-times, Day, NT$</t>
  </si>
  <si>
    <t>Amount of Assistance</t>
  </si>
  <si>
    <t>Number of Inpatient</t>
  </si>
  <si>
    <t>Total Days of  Inpatient</t>
  </si>
  <si>
    <t>Low Income Family</t>
  </si>
  <si>
    <t>Number of Outpatient</t>
  </si>
  <si>
    <t>Medicaid of Inpatient</t>
  </si>
  <si>
    <t>Assistance for Outpatient Services</t>
  </si>
  <si>
    <t>Table 11-12. General Conditions of Aid for Disasters and Emergencies</t>
  </si>
  <si>
    <t>Unit : Person-times , NT$</t>
  </si>
  <si>
    <t>One Who is Hard in Traveling Expenses Unexpectedly</t>
  </si>
  <si>
    <t>No.of Beneficiary-times</t>
  </si>
  <si>
    <t>Amount</t>
  </si>
  <si>
    <t>Grand Total</t>
  </si>
  <si>
    <t>No Money to Handle Funeral
and Burial in Case of the Death</t>
  </si>
  <si>
    <t>One Who is Hard in Living Unexpectedly</t>
  </si>
  <si>
    <t>No.of
Beneficiary-times</t>
  </si>
  <si>
    <t>No.of
Beneficiary-times</t>
  </si>
  <si>
    <t>Table 11-12. General Conditions of Aid for Disasters and Emergencies (Cont.)</t>
  </si>
  <si>
    <t>Number of Not Afford Medical Fee</t>
  </si>
  <si>
    <t>One Who Needs for Help Due to Other Accident</t>
  </si>
  <si>
    <t>Militia and Veteran</t>
  </si>
  <si>
    <t>Impoverished due to the Inability of the Bread Winner to work</t>
  </si>
  <si>
    <t>Impoverished due to Property or Deposit Being Inaccessible</t>
  </si>
  <si>
    <t>Impoverished due to Other Major Causes</t>
  </si>
  <si>
    <t>Without Dependents
and Inheritance</t>
  </si>
  <si>
    <t>Table 11-13. Aid Situations of Disasters</t>
  </si>
  <si>
    <t>No. of Victims (Persons)</t>
  </si>
  <si>
    <t xml:space="preserve">Year </t>
  </si>
  <si>
    <t>Times of Disasters
(Times)</t>
  </si>
  <si>
    <t>Shelters
(Places)</t>
  </si>
  <si>
    <t>Victims Temp. Sheltered
(Persons)</t>
  </si>
  <si>
    <t>Death</t>
  </si>
  <si>
    <t>Disappearance</t>
  </si>
  <si>
    <t>Serious Injuries</t>
  </si>
  <si>
    <t>No. of Households
(Households)</t>
  </si>
  <si>
    <t>No. of Persons
(Persons)</t>
  </si>
  <si>
    <t>Losing Property
Impacting Living
(Households)</t>
  </si>
  <si>
    <t>Amount
(NT$1,000)</t>
  </si>
  <si>
    <t>Note : The flooding on June 11th, 2012 caused the serious financial damage.</t>
  </si>
  <si>
    <t>Table 11-14. Number and Handled Conditions of Homeless People</t>
  </si>
  <si>
    <t>Vagrant Handling Cases (Person-times)</t>
  </si>
  <si>
    <t>Treating Homeless
People by Receiving
or Investigating Reports
(Persons, Cases)</t>
  </si>
  <si>
    <t>To Help Return Home</t>
  </si>
  <si>
    <t>Caring
Services</t>
  </si>
  <si>
    <t>Festival
Activities</t>
  </si>
  <si>
    <t>To Welfare
Services</t>
  </si>
  <si>
    <t>To Obtain Employment Services</t>
  </si>
  <si>
    <t>Death</t>
  </si>
  <si>
    <t>Subtotal</t>
  </si>
  <si>
    <t>Spirit-
sanatorium</t>
  </si>
  <si>
    <t>Senior
Caring Org.</t>
  </si>
  <si>
    <t>Senior
Nursing Org.</t>
  </si>
  <si>
    <t>Disabled
Institutes</t>
  </si>
  <si>
    <t>Vagrant
Accepting Org.</t>
  </si>
  <si>
    <t>Other Org.</t>
  </si>
  <si>
    <t>Table 11-15. The Conditions of Elderly Welfare Services</t>
  </si>
  <si>
    <t>Unit : Places, Persons, Person-times</t>
  </si>
  <si>
    <t>Elderly Long-term Care and Caring Institutions, End of Year</t>
  </si>
  <si>
    <t>Long-term Care Organizations</t>
  </si>
  <si>
    <t>Elderly Community Shelters, End of Year</t>
  </si>
  <si>
    <t>Elderly Residential Settling, End of Year</t>
  </si>
  <si>
    <t>Caring Institutions</t>
  </si>
  <si>
    <t>Long-term Nursing Organizations</t>
  </si>
  <si>
    <t>Nursing Organizations</t>
  </si>
  <si>
    <t>Care Organizations for Dementia Senior Citizens</t>
  </si>
  <si>
    <t>Housing Persons</t>
  </si>
  <si>
    <t>No. of 
Institutions</t>
  </si>
  <si>
    <t>Table 11-16. The Conditions of Children and Youths Welfare Services</t>
  </si>
  <si>
    <t>Children and Youths Welfare Institutions</t>
  </si>
  <si>
    <t>Children Foster Care, End of Year</t>
  </si>
  <si>
    <t>Disadvantaged Children and Youths</t>
  </si>
  <si>
    <t>Residential Institutions, End of Year</t>
  </si>
  <si>
    <t>Counceling Service Agencies</t>
  </si>
  <si>
    <t>No. of Fostered
Children and Youths</t>
  </si>
  <si>
    <t>Living Support</t>
  </si>
  <si>
    <t>Medicaid</t>
  </si>
  <si>
    <t>Childcare Subsidies
(Allowance)</t>
  </si>
  <si>
    <t>Times of
Attened
Persons of
Recreation
Activities</t>
  </si>
  <si>
    <t>No. of Inmates</t>
  </si>
  <si>
    <t>Person-times Serviced</t>
  </si>
  <si>
    <t>No. of
Households
(Households)</t>
  </si>
  <si>
    <t>No. of 
Institutions,
End of Year</t>
  </si>
  <si>
    <t xml:space="preserve">Note : The number of beneficiary-times of each assistance (subsidies) on disadvantaged children and youths are counted as  </t>
  </si>
  <si>
    <t xml:space="preserve">           follows: sum (each one * months of each one accepting subsidies).</t>
  </si>
  <si>
    <t>Grand Total</t>
  </si>
  <si>
    <t>Public Day-care Centers</t>
  </si>
  <si>
    <t>Private Day-care Centers</t>
  </si>
  <si>
    <t>End of Year</t>
  </si>
  <si>
    <t>No. of
Nursery</t>
  </si>
  <si>
    <t>No. of Child</t>
  </si>
  <si>
    <t>No. of Staffs
and Workers</t>
  </si>
  <si>
    <t xml:space="preserve">Childcare Assistant </t>
  </si>
  <si>
    <t>No. of Nursery</t>
  </si>
  <si>
    <t xml:space="preserve">Childcare
Assistant </t>
  </si>
  <si>
    <t>Public Infant Care Centers</t>
  </si>
  <si>
    <t>Public Ins. Run by Private Ins. Infant Care Centers</t>
  </si>
  <si>
    <t>After-school Children Care Centers</t>
  </si>
  <si>
    <t>No. of
Organi-
zations</t>
  </si>
  <si>
    <t>No. of
Cared</t>
  </si>
  <si>
    <t>No. of
Professional
Workers</t>
  </si>
  <si>
    <t>Nursemaid</t>
  </si>
  <si>
    <t>Child Care
(Included
Assistant)
Workers</t>
  </si>
  <si>
    <t>Table 11-19. The Conditions of Assistance Service for Families in Hardship</t>
  </si>
  <si>
    <t>Unit : Person-times, NT$</t>
  </si>
  <si>
    <t>Grand Total</t>
  </si>
  <si>
    <t>Emergency Assistance for Livelihood</t>
  </si>
  <si>
    <t>Medical Subsidies</t>
  </si>
  <si>
    <t>Subsidies of Litigation</t>
  </si>
  <si>
    <t>Children Living Allowance</t>
  </si>
  <si>
    <t>Children Nursery Allowance</t>
  </si>
  <si>
    <t>No.of
Beneficiary-times</t>
  </si>
  <si>
    <t>No.of
Beneficiary-times</t>
  </si>
  <si>
    <t xml:space="preserve">Note : The beneficiary-times of emergency assistance for livelihood, children living allowance, and children nursery </t>
  </si>
  <si>
    <t xml:space="preserve">           allowance are counted as follows: sum (each one * months of each one accepting subsidies).</t>
  </si>
  <si>
    <t>Table 11-20. Social Welfare Personnel</t>
  </si>
  <si>
    <t>Administrators</t>
  </si>
  <si>
    <t>Social Workers</t>
  </si>
  <si>
    <t>Licensed Social Workers</t>
  </si>
  <si>
    <t>Specialists</t>
  </si>
  <si>
    <t>Note : 1.The figures in this table are made up according to the ratio of actual time spent for the particular business transaction to the</t>
  </si>
  <si>
    <t xml:space="preserve">              actual working hours.</t>
  </si>
  <si>
    <t>Table 11-21. Reported Cases of Sexual Assault</t>
  </si>
  <si>
    <t>Victims (Persons)</t>
  </si>
  <si>
    <t>Age</t>
  </si>
  <si>
    <t>No. of
Reported Cases
(Cases)</t>
  </si>
  <si>
    <t>Sex</t>
  </si>
  <si>
    <t>Total</t>
  </si>
  <si>
    <t>Male</t>
  </si>
  <si>
    <t>Female</t>
  </si>
  <si>
    <t>Unspecified</t>
  </si>
  <si>
    <t>0-5 Years</t>
  </si>
  <si>
    <t>6-11 Years</t>
  </si>
  <si>
    <t>12-17 Years</t>
  </si>
  <si>
    <t>18-23 Years</t>
  </si>
  <si>
    <t>24-29 Years</t>
  </si>
  <si>
    <t>30-39 Years</t>
  </si>
  <si>
    <t>40-49 Years</t>
  </si>
  <si>
    <t>50-64 Years</t>
  </si>
  <si>
    <t>65 Years and Over</t>
  </si>
  <si>
    <t>Table 11-22. Reported Cases of Domestic Violence</t>
  </si>
  <si>
    <t>Unit : Cases</t>
  </si>
  <si>
    <t>No. of Reported Cases</t>
  </si>
  <si>
    <t>By Victim-offender Relationship</t>
  </si>
  <si>
    <t>By Types of Cases</t>
  </si>
  <si>
    <t>Year</t>
  </si>
  <si>
    <t>Spouses</t>
  </si>
  <si>
    <t>Other Family Members Previously Living Together</t>
  </si>
  <si>
    <t>Total</t>
  </si>
  <si>
    <t>Violence of Marriage, Divorce or Cohabition  Relationship</t>
  </si>
  <si>
    <t>Children and Youths
Protection</t>
  </si>
  <si>
    <t>Elder Abuse</t>
  </si>
  <si>
    <t>Others</t>
  </si>
  <si>
    <t>Former Spouse 
(Divorced)</t>
  </si>
  <si>
    <t>Cohabi-
tation</t>
  </si>
  <si>
    <t>Separation</t>
  </si>
  <si>
    <t>Lineal Relative by Blood</t>
  </si>
  <si>
    <t>Lineal Relative by Marriage</t>
  </si>
  <si>
    <t>Cohabiting Relationship</t>
  </si>
  <si>
    <t>Collateral  Relative by Marriage within Four Degrees of Kinship</t>
  </si>
  <si>
    <t>Household Members</t>
  </si>
  <si>
    <t>Householder and Household Members</t>
  </si>
  <si>
    <t>Source : Department of Social Welfare, Taoyuan City Gov.</t>
  </si>
  <si>
    <t>Table 11-22. Reported Cases of Domestic Violence (Cont.)</t>
  </si>
  <si>
    <t>Unit : Cases</t>
  </si>
  <si>
    <t>No. of Reported Cases</t>
  </si>
  <si>
    <t>By Victim-offender Relationship</t>
  </si>
  <si>
    <t>Other Family Members Currently Living Together</t>
  </si>
  <si>
    <t>Lineal Relative by Blood</t>
  </si>
  <si>
    <t>Lineal Relative by Marriage</t>
  </si>
  <si>
    <t>Cohabiting Relationship</t>
  </si>
  <si>
    <t>Collateral  Relative by Marriage within Four Degrees of Kinship</t>
  </si>
  <si>
    <t>Household Members</t>
  </si>
  <si>
    <t>Householder and Household Members</t>
  </si>
  <si>
    <t xml:space="preserve">Other </t>
  </si>
  <si>
    <t>Social Welfare
Services Centers</t>
  </si>
  <si>
    <t>Homes for the Elderly</t>
  </si>
  <si>
    <t>Persons at End of Year</t>
  </si>
  <si>
    <t>Having Drifted Away from Home and No Money to 
Return Home</t>
  </si>
  <si>
    <t>Subtotal</t>
  </si>
  <si>
    <t xml:space="preserve">         4. Since 2015 the chinese name of Islamism was revised.</t>
  </si>
  <si>
    <t>Collateral Relative by Blood within Four Degrees of Kinship</t>
  </si>
  <si>
    <t>Note: 1. Other temples included Yellow Emperor Sect, the Lord of Universe Church, Celestial Virtue Sect, Three-in-One Religion</t>
  </si>
  <si>
    <t>Combined with Counseling Resources to Rent</t>
  </si>
  <si>
    <t xml:space="preserve">     Public Sectors</t>
  </si>
  <si>
    <t xml:space="preserve">         Administrative District Offices</t>
  </si>
  <si>
    <t xml:space="preserve">         Other Welfare Organizations </t>
  </si>
  <si>
    <t xml:space="preserve">     Government-owned,Contractor-</t>
  </si>
  <si>
    <t xml:space="preserve">     operated Organizations</t>
  </si>
  <si>
    <t xml:space="preserve">          Department of Social Welfare  </t>
  </si>
  <si>
    <r>
      <rPr>
        <sz val="10"/>
        <rFont val="華康粗圓體"/>
        <family val="3"/>
      </rPr>
      <t>年底別</t>
    </r>
  </si>
  <si>
    <r>
      <rPr>
        <sz val="10"/>
        <rFont val="華康粗圓體"/>
        <family val="3"/>
      </rPr>
      <t>職業團體</t>
    </r>
  </si>
  <si>
    <r>
      <rPr>
        <sz val="10"/>
        <rFont val="華康粗圓體"/>
        <family val="3"/>
      </rPr>
      <t>社會團體</t>
    </r>
  </si>
  <si>
    <r>
      <rPr>
        <sz val="10"/>
        <rFont val="華康粗圓體"/>
        <family val="3"/>
      </rPr>
      <t>合計</t>
    </r>
  </si>
  <si>
    <r>
      <rPr>
        <sz val="10"/>
        <rFont val="華康粗圓體"/>
        <family val="3"/>
      </rPr>
      <t>農會</t>
    </r>
  </si>
  <si>
    <r>
      <rPr>
        <sz val="10"/>
        <rFont val="華康粗圓體"/>
        <family val="3"/>
      </rPr>
      <t>漁會</t>
    </r>
  </si>
  <si>
    <r>
      <rPr>
        <sz val="10"/>
        <rFont val="華康粗圓體"/>
        <family val="3"/>
      </rPr>
      <t>工會</t>
    </r>
  </si>
  <si>
    <r>
      <rPr>
        <sz val="10"/>
        <rFont val="華康粗圓體"/>
        <family val="3"/>
      </rPr>
      <t>工業團體</t>
    </r>
  </si>
  <si>
    <r>
      <rPr>
        <sz val="10"/>
        <rFont val="華康粗圓體"/>
        <family val="3"/>
      </rPr>
      <t>商業團體</t>
    </r>
  </si>
  <si>
    <r>
      <rPr>
        <sz val="10"/>
        <rFont val="華康粗圓體"/>
        <family val="3"/>
      </rPr>
      <t>合計</t>
    </r>
  </si>
  <si>
    <r>
      <rPr>
        <sz val="10"/>
        <rFont val="華康粗圓體"/>
        <family val="3"/>
      </rPr>
      <t>學術文化
團　　體</t>
    </r>
  </si>
  <si>
    <r>
      <rPr>
        <sz val="10"/>
        <rFont val="華康粗圓體"/>
        <family val="3"/>
      </rPr>
      <t>醫療衛生
團　　體</t>
    </r>
  </si>
  <si>
    <r>
      <rPr>
        <sz val="10"/>
        <rFont val="華康粗圓體"/>
        <family val="3"/>
      </rPr>
      <t>宗教團體</t>
    </r>
  </si>
  <si>
    <r>
      <rPr>
        <sz val="10"/>
        <rFont val="華康粗圓體"/>
        <family val="3"/>
      </rPr>
      <t>體育團體</t>
    </r>
  </si>
  <si>
    <r>
      <rPr>
        <sz val="10"/>
        <rFont val="華康粗圓體"/>
        <family val="3"/>
      </rPr>
      <t>社會服務
及公益
慈善團體</t>
    </r>
  </si>
  <si>
    <r>
      <rPr>
        <sz val="10"/>
        <rFont val="華康粗圓體"/>
        <family val="3"/>
      </rPr>
      <t>國際團體</t>
    </r>
  </si>
  <si>
    <r>
      <rPr>
        <sz val="10"/>
        <rFont val="華康粗圓體"/>
        <family val="3"/>
      </rPr>
      <t>其他</t>
    </r>
  </si>
  <si>
    <r>
      <rPr>
        <sz val="10"/>
        <rFont val="華康粗圓體"/>
        <family val="3"/>
      </rPr>
      <t>民國</t>
    </r>
    <r>
      <rPr>
        <sz val="10"/>
        <rFont val="Arial Narrow"/>
        <family val="2"/>
      </rPr>
      <t>97</t>
    </r>
    <r>
      <rPr>
        <sz val="10"/>
        <rFont val="華康粗圓體"/>
        <family val="3"/>
      </rPr>
      <t xml:space="preserve">年底
</t>
    </r>
    <r>
      <rPr>
        <sz val="10"/>
        <rFont val="Arial Narrow"/>
        <family val="2"/>
      </rPr>
      <t>End of 2008</t>
    </r>
  </si>
  <si>
    <r>
      <rPr>
        <sz val="10"/>
        <rFont val="華康粗圓體"/>
        <family val="3"/>
      </rPr>
      <t>民國</t>
    </r>
    <r>
      <rPr>
        <sz val="10"/>
        <rFont val="Arial Narrow"/>
        <family val="2"/>
      </rPr>
      <t>98</t>
    </r>
    <r>
      <rPr>
        <sz val="10"/>
        <rFont val="華康粗圓體"/>
        <family val="3"/>
      </rPr>
      <t xml:space="preserve">年底
</t>
    </r>
    <r>
      <rPr>
        <sz val="10"/>
        <rFont val="Arial Narrow"/>
        <family val="2"/>
      </rPr>
      <t>End of 2009</t>
    </r>
  </si>
  <si>
    <r>
      <rPr>
        <sz val="10"/>
        <rFont val="華康粗圓體"/>
        <family val="3"/>
      </rPr>
      <t>民國</t>
    </r>
    <r>
      <rPr>
        <sz val="10"/>
        <rFont val="Arial Narrow"/>
        <family val="2"/>
      </rPr>
      <t>99</t>
    </r>
    <r>
      <rPr>
        <sz val="10"/>
        <rFont val="華康粗圓體"/>
        <family val="3"/>
      </rPr>
      <t xml:space="preserve">年底
</t>
    </r>
    <r>
      <rPr>
        <sz val="10"/>
        <rFont val="Arial Narrow"/>
        <family val="2"/>
      </rPr>
      <t>End of 2010</t>
    </r>
  </si>
  <si>
    <r>
      <rPr>
        <sz val="10"/>
        <rFont val="華康粗圓體"/>
        <family val="3"/>
      </rPr>
      <t>民國</t>
    </r>
    <r>
      <rPr>
        <sz val="10"/>
        <rFont val="Arial Narrow"/>
        <family val="2"/>
      </rPr>
      <t>100</t>
    </r>
    <r>
      <rPr>
        <sz val="10"/>
        <rFont val="華康粗圓體"/>
        <family val="3"/>
      </rPr>
      <t xml:space="preserve">年底
</t>
    </r>
    <r>
      <rPr>
        <sz val="10"/>
        <rFont val="Arial Narrow"/>
        <family val="2"/>
      </rPr>
      <t>End of 2011</t>
    </r>
  </si>
  <si>
    <r>
      <rPr>
        <sz val="10"/>
        <rFont val="華康粗圓體"/>
        <family val="3"/>
      </rPr>
      <t>民國</t>
    </r>
    <r>
      <rPr>
        <sz val="10"/>
        <rFont val="Arial Narrow"/>
        <family val="2"/>
      </rPr>
      <t>101</t>
    </r>
    <r>
      <rPr>
        <sz val="10"/>
        <rFont val="華康粗圓體"/>
        <family val="3"/>
      </rPr>
      <t xml:space="preserve">年底
</t>
    </r>
    <r>
      <rPr>
        <sz val="10"/>
        <rFont val="Arial Narrow"/>
        <family val="2"/>
      </rPr>
      <t>End of 2012</t>
    </r>
  </si>
  <si>
    <r>
      <rPr>
        <sz val="10"/>
        <rFont val="華康粗圓體"/>
        <family val="3"/>
      </rPr>
      <t>民國</t>
    </r>
    <r>
      <rPr>
        <sz val="10"/>
        <rFont val="Arial Narrow"/>
        <family val="2"/>
      </rPr>
      <t>102</t>
    </r>
    <r>
      <rPr>
        <sz val="10"/>
        <rFont val="華康粗圓體"/>
        <family val="3"/>
      </rPr>
      <t xml:space="preserve">年底
</t>
    </r>
    <r>
      <rPr>
        <sz val="10"/>
        <rFont val="Arial Narrow"/>
        <family val="2"/>
      </rPr>
      <t>End of 2013</t>
    </r>
  </si>
  <si>
    <r>
      <rPr>
        <sz val="10"/>
        <rFont val="華康粗圓體"/>
        <family val="3"/>
      </rPr>
      <t>民國</t>
    </r>
    <r>
      <rPr>
        <sz val="10"/>
        <rFont val="Arial Narrow"/>
        <family val="2"/>
      </rPr>
      <t>103</t>
    </r>
    <r>
      <rPr>
        <sz val="10"/>
        <rFont val="華康粗圓體"/>
        <family val="3"/>
      </rPr>
      <t xml:space="preserve">年底
</t>
    </r>
    <r>
      <rPr>
        <sz val="10"/>
        <rFont val="Arial Narrow"/>
        <family val="2"/>
      </rPr>
      <t>End of 2014</t>
    </r>
  </si>
  <si>
    <r>
      <rPr>
        <sz val="10"/>
        <rFont val="華康粗圓體"/>
        <family val="3"/>
      </rPr>
      <t>民國</t>
    </r>
    <r>
      <rPr>
        <sz val="10"/>
        <rFont val="Arial Narrow"/>
        <family val="2"/>
      </rPr>
      <t>104</t>
    </r>
    <r>
      <rPr>
        <sz val="10"/>
        <rFont val="華康粗圓體"/>
        <family val="3"/>
      </rPr>
      <t xml:space="preserve">年底
</t>
    </r>
    <r>
      <rPr>
        <sz val="10"/>
        <rFont val="Arial Narrow"/>
        <family val="2"/>
      </rPr>
      <t>End of 2015</t>
    </r>
  </si>
  <si>
    <r>
      <rPr>
        <sz val="10"/>
        <rFont val="華康粗圓體"/>
        <family val="3"/>
      </rPr>
      <t>年別</t>
    </r>
  </si>
  <si>
    <r>
      <rPr>
        <sz val="10"/>
        <rFont val="華康粗圓體"/>
        <family val="3"/>
      </rPr>
      <t>通報件數</t>
    </r>
  </si>
  <si>
    <r>
      <rPr>
        <sz val="10"/>
        <rFont val="華康粗圓體"/>
        <family val="3"/>
      </rPr>
      <t>被害人</t>
    </r>
    <r>
      <rPr>
        <sz val="10"/>
        <rFont val="Arial Narrow"/>
        <family val="2"/>
      </rPr>
      <t xml:space="preserve"> (</t>
    </r>
    <r>
      <rPr>
        <sz val="10"/>
        <rFont val="華康粗圓體"/>
        <family val="3"/>
      </rPr>
      <t>人</t>
    </r>
    <r>
      <rPr>
        <sz val="10"/>
        <rFont val="Arial Narrow"/>
        <family val="2"/>
      </rPr>
      <t>)</t>
    </r>
  </si>
  <si>
    <r>
      <rPr>
        <sz val="10"/>
        <rFont val="華康粗圓體"/>
        <family val="3"/>
      </rPr>
      <t>被害及加害者兩造關係別</t>
    </r>
  </si>
  <si>
    <r>
      <rPr>
        <sz val="10"/>
        <rFont val="華康粗圓體"/>
        <family val="3"/>
      </rPr>
      <t>現同住之其他家庭成員</t>
    </r>
  </si>
  <si>
    <r>
      <rPr>
        <sz val="10"/>
        <rFont val="華康粗圓體"/>
        <family val="3"/>
      </rPr>
      <t>性別</t>
    </r>
  </si>
  <si>
    <r>
      <rPr>
        <sz val="10"/>
        <rFont val="華康粗圓體"/>
        <family val="3"/>
      </rPr>
      <t>計</t>
    </r>
  </si>
  <si>
    <r>
      <rPr>
        <sz val="10"/>
        <rFont val="華康粗圓體"/>
        <family val="3"/>
      </rPr>
      <t>四等親內
旁系血親</t>
    </r>
  </si>
  <si>
    <r>
      <rPr>
        <sz val="10"/>
        <rFont val="華康粗圓體"/>
        <family val="3"/>
      </rPr>
      <t>四等親內
旁系姻親</t>
    </r>
  </si>
  <si>
    <r>
      <rPr>
        <sz val="10"/>
        <rFont val="華康粗圓體"/>
        <family val="3"/>
      </rPr>
      <t>家屬間</t>
    </r>
  </si>
  <si>
    <r>
      <rPr>
        <sz val="10"/>
        <rFont val="華康粗圓體"/>
        <family val="3"/>
      </rPr>
      <t>其他</t>
    </r>
  </si>
  <si>
    <r>
      <rPr>
        <sz val="10"/>
        <rFont val="華康粗圓體"/>
        <family val="3"/>
      </rPr>
      <t>合計</t>
    </r>
  </si>
  <si>
    <r>
      <rPr>
        <sz val="10"/>
        <rFont val="華康粗圓體"/>
        <family val="3"/>
      </rPr>
      <t>男</t>
    </r>
  </si>
  <si>
    <r>
      <rPr>
        <sz val="10"/>
        <rFont val="華康粗圓體"/>
        <family val="3"/>
      </rPr>
      <t>女</t>
    </r>
  </si>
  <si>
    <r>
      <rPr>
        <sz val="10"/>
        <rFont val="華康粗圓體"/>
        <family val="3"/>
      </rPr>
      <t>不詳</t>
    </r>
  </si>
  <si>
    <r>
      <rPr>
        <sz val="10"/>
        <rFont val="華康粗圓體"/>
        <family val="3"/>
      </rPr>
      <t>民國</t>
    </r>
    <r>
      <rPr>
        <sz val="10"/>
        <rFont val="Arial Narrow"/>
        <family val="2"/>
      </rPr>
      <t>97</t>
    </r>
    <r>
      <rPr>
        <sz val="10"/>
        <rFont val="華康粗圓體"/>
        <family val="3"/>
      </rPr>
      <t xml:space="preserve">年
</t>
    </r>
    <r>
      <rPr>
        <sz val="10"/>
        <rFont val="Arial Narrow"/>
        <family val="2"/>
      </rPr>
      <t>2008</t>
    </r>
  </si>
  <si>
    <r>
      <rPr>
        <sz val="10"/>
        <rFont val="華康粗圓體"/>
        <family val="3"/>
      </rPr>
      <t>民國</t>
    </r>
    <r>
      <rPr>
        <sz val="10"/>
        <rFont val="Arial Narrow"/>
        <family val="2"/>
      </rPr>
      <t>98</t>
    </r>
    <r>
      <rPr>
        <sz val="10"/>
        <rFont val="華康粗圓體"/>
        <family val="3"/>
      </rPr>
      <t xml:space="preserve">年
</t>
    </r>
    <r>
      <rPr>
        <sz val="10"/>
        <rFont val="Arial Narrow"/>
        <family val="2"/>
      </rPr>
      <t>2009</t>
    </r>
  </si>
  <si>
    <r>
      <rPr>
        <sz val="10"/>
        <rFont val="華康粗圓體"/>
        <family val="3"/>
      </rPr>
      <t>民國</t>
    </r>
    <r>
      <rPr>
        <sz val="10"/>
        <rFont val="Arial Narrow"/>
        <family val="2"/>
      </rPr>
      <t>99</t>
    </r>
    <r>
      <rPr>
        <sz val="10"/>
        <rFont val="華康粗圓體"/>
        <family val="3"/>
      </rPr>
      <t xml:space="preserve">年
</t>
    </r>
    <r>
      <rPr>
        <sz val="10"/>
        <rFont val="Arial Narrow"/>
        <family val="2"/>
      </rPr>
      <t>2010</t>
    </r>
  </si>
  <si>
    <r>
      <rPr>
        <sz val="10"/>
        <rFont val="華康粗圓體"/>
        <family val="3"/>
      </rPr>
      <t>民國</t>
    </r>
    <r>
      <rPr>
        <sz val="10"/>
        <rFont val="Arial Narrow"/>
        <family val="2"/>
      </rPr>
      <t>100</t>
    </r>
    <r>
      <rPr>
        <sz val="10"/>
        <rFont val="華康粗圓體"/>
        <family val="3"/>
      </rPr>
      <t xml:space="preserve">年
</t>
    </r>
    <r>
      <rPr>
        <sz val="10"/>
        <rFont val="Arial Narrow"/>
        <family val="2"/>
      </rPr>
      <t>2011</t>
    </r>
  </si>
  <si>
    <r>
      <rPr>
        <sz val="10"/>
        <rFont val="華康粗圓體"/>
        <family val="3"/>
      </rPr>
      <t>民國</t>
    </r>
    <r>
      <rPr>
        <sz val="10"/>
        <rFont val="Arial Narrow"/>
        <family val="2"/>
      </rPr>
      <t>101</t>
    </r>
    <r>
      <rPr>
        <sz val="10"/>
        <rFont val="華康粗圓體"/>
        <family val="3"/>
      </rPr>
      <t xml:space="preserve">年
</t>
    </r>
    <r>
      <rPr>
        <sz val="10"/>
        <rFont val="Arial Narrow"/>
        <family val="2"/>
      </rPr>
      <t>2012</t>
    </r>
  </si>
  <si>
    <r>
      <rPr>
        <sz val="10"/>
        <rFont val="華康粗圓體"/>
        <family val="3"/>
      </rPr>
      <t>民國</t>
    </r>
    <r>
      <rPr>
        <sz val="10"/>
        <rFont val="Arial Narrow"/>
        <family val="2"/>
      </rPr>
      <t>102</t>
    </r>
    <r>
      <rPr>
        <sz val="10"/>
        <rFont val="華康粗圓體"/>
        <family val="3"/>
      </rPr>
      <t xml:space="preserve">年
</t>
    </r>
    <r>
      <rPr>
        <sz val="10"/>
        <rFont val="Arial Narrow"/>
        <family val="2"/>
      </rPr>
      <t>2013</t>
    </r>
  </si>
  <si>
    <r>
      <rPr>
        <sz val="10"/>
        <rFont val="華康粗圓體"/>
        <family val="3"/>
      </rPr>
      <t>民國</t>
    </r>
    <r>
      <rPr>
        <sz val="10"/>
        <rFont val="Arial Narrow"/>
        <family val="2"/>
      </rPr>
      <t>103</t>
    </r>
    <r>
      <rPr>
        <sz val="10"/>
        <rFont val="華康粗圓體"/>
        <family val="3"/>
      </rPr>
      <t xml:space="preserve">年
</t>
    </r>
    <r>
      <rPr>
        <sz val="10"/>
        <rFont val="Arial Narrow"/>
        <family val="2"/>
      </rPr>
      <t>2014</t>
    </r>
  </si>
  <si>
    <r>
      <rPr>
        <sz val="10"/>
        <rFont val="華康粗圓體"/>
        <family val="3"/>
      </rPr>
      <t>民國</t>
    </r>
    <r>
      <rPr>
        <sz val="10"/>
        <rFont val="Arial Narrow"/>
        <family val="2"/>
      </rPr>
      <t>104</t>
    </r>
    <r>
      <rPr>
        <sz val="10"/>
        <rFont val="華康粗圓體"/>
        <family val="3"/>
      </rPr>
      <t xml:space="preserve">年
</t>
    </r>
    <r>
      <rPr>
        <sz val="10"/>
        <rFont val="Arial Narrow"/>
        <family val="2"/>
      </rPr>
      <t>2015</t>
    </r>
  </si>
  <si>
    <r>
      <rPr>
        <sz val="10"/>
        <rFont val="華康粗圓體"/>
        <family val="3"/>
      </rPr>
      <t>案件類型別</t>
    </r>
  </si>
  <si>
    <r>
      <rPr>
        <sz val="10"/>
        <rFont val="華康粗圓體"/>
        <family val="3"/>
      </rPr>
      <t>合計</t>
    </r>
  </si>
  <si>
    <r>
      <rPr>
        <sz val="10"/>
        <rFont val="華康粗圓體"/>
        <family val="3"/>
      </rPr>
      <t>婚姻、離
婚或同居
關係暴力</t>
    </r>
  </si>
  <si>
    <r>
      <rPr>
        <sz val="10"/>
        <rFont val="華康粗圓體"/>
        <family val="3"/>
      </rPr>
      <t>兒少
保護</t>
    </r>
  </si>
  <si>
    <r>
      <rPr>
        <sz val="10"/>
        <rFont val="華康粗圓體"/>
        <family val="3"/>
      </rPr>
      <t>老人
虐待</t>
    </r>
  </si>
  <si>
    <r>
      <rPr>
        <sz val="10"/>
        <rFont val="華康粗圓體"/>
        <family val="3"/>
      </rPr>
      <t>配偶</t>
    </r>
  </si>
  <si>
    <r>
      <rPr>
        <sz val="10"/>
        <rFont val="華康粗圓體"/>
        <family val="3"/>
      </rPr>
      <t xml:space="preserve">前配偶
</t>
    </r>
    <r>
      <rPr>
        <sz val="10"/>
        <rFont val="Arial Narrow"/>
        <family val="2"/>
      </rPr>
      <t>(</t>
    </r>
    <r>
      <rPr>
        <sz val="10"/>
        <rFont val="華康粗圓體"/>
        <family val="3"/>
      </rPr>
      <t>離婚</t>
    </r>
    <r>
      <rPr>
        <sz val="10"/>
        <rFont val="Arial Narrow"/>
        <family val="2"/>
      </rPr>
      <t>)</t>
    </r>
  </si>
  <si>
    <r>
      <rPr>
        <sz val="10"/>
        <rFont val="華康粗圓體"/>
        <family val="3"/>
      </rPr>
      <t>曾同住之其他家庭成員</t>
    </r>
  </si>
  <si>
    <r>
      <rPr>
        <sz val="10"/>
        <rFont val="華康粗圓體"/>
        <family val="3"/>
      </rPr>
      <t>共同
生活</t>
    </r>
  </si>
  <si>
    <r>
      <rPr>
        <sz val="10"/>
        <rFont val="華康粗圓體"/>
        <family val="3"/>
      </rPr>
      <t>分居</t>
    </r>
  </si>
  <si>
    <r>
      <rPr>
        <sz val="10"/>
        <rFont val="華康粗圓體"/>
        <family val="3"/>
      </rPr>
      <t>直系
血親</t>
    </r>
  </si>
  <si>
    <r>
      <rPr>
        <sz val="10"/>
        <rFont val="華康粗圓體"/>
        <family val="3"/>
      </rPr>
      <t>直系
姻親</t>
    </r>
  </si>
  <si>
    <r>
      <rPr>
        <sz val="10"/>
        <rFont val="華康粗圓體"/>
        <family val="3"/>
      </rPr>
      <t>同居
關係</t>
    </r>
  </si>
  <si>
    <r>
      <rPr>
        <sz val="10"/>
        <rFont val="華康粗圓體"/>
        <family val="3"/>
      </rPr>
      <t>家長
家屬</t>
    </r>
  </si>
  <si>
    <r>
      <rPr>
        <sz val="10"/>
        <rFont val="華康粗圓體"/>
        <family val="3"/>
      </rPr>
      <t xml:space="preserve">通報件數
</t>
    </r>
    <r>
      <rPr>
        <sz val="10"/>
        <rFont val="Arial Narrow"/>
        <family val="2"/>
      </rPr>
      <t>(</t>
    </r>
    <r>
      <rPr>
        <sz val="10"/>
        <rFont val="華康粗圓體"/>
        <family val="3"/>
      </rPr>
      <t>件</t>
    </r>
    <r>
      <rPr>
        <sz val="10"/>
        <rFont val="Arial Narrow"/>
        <family val="2"/>
      </rPr>
      <t>)</t>
    </r>
  </si>
  <si>
    <r>
      <rPr>
        <sz val="10"/>
        <rFont val="華康粗圓體"/>
        <family val="3"/>
      </rPr>
      <t>年齡</t>
    </r>
  </si>
  <si>
    <r>
      <t>0-5</t>
    </r>
    <r>
      <rPr>
        <sz val="10"/>
        <rFont val="華康粗圓體"/>
        <family val="3"/>
      </rPr>
      <t>歲</t>
    </r>
  </si>
  <si>
    <r>
      <t>6-11</t>
    </r>
    <r>
      <rPr>
        <sz val="10"/>
        <rFont val="華康粗圓體"/>
        <family val="3"/>
      </rPr>
      <t>歲</t>
    </r>
  </si>
  <si>
    <r>
      <t>12-17</t>
    </r>
    <r>
      <rPr>
        <sz val="10"/>
        <rFont val="華康粗圓體"/>
        <family val="3"/>
      </rPr>
      <t>歲</t>
    </r>
  </si>
  <si>
    <r>
      <t>18-23</t>
    </r>
    <r>
      <rPr>
        <sz val="10"/>
        <rFont val="華康粗圓體"/>
        <family val="3"/>
      </rPr>
      <t>歲</t>
    </r>
  </si>
  <si>
    <r>
      <t>24-29</t>
    </r>
    <r>
      <rPr>
        <sz val="10"/>
        <rFont val="華康粗圓體"/>
        <family val="3"/>
      </rPr>
      <t>歲</t>
    </r>
  </si>
  <si>
    <r>
      <t>30-39</t>
    </r>
    <r>
      <rPr>
        <sz val="10"/>
        <rFont val="華康粗圓體"/>
        <family val="3"/>
      </rPr>
      <t>歲</t>
    </r>
  </si>
  <si>
    <r>
      <t>40-49</t>
    </r>
    <r>
      <rPr>
        <sz val="10"/>
        <rFont val="華康粗圓體"/>
        <family val="3"/>
      </rPr>
      <t>歲</t>
    </r>
  </si>
  <si>
    <r>
      <t>50-64</t>
    </r>
    <r>
      <rPr>
        <sz val="10"/>
        <rFont val="華康粗圓體"/>
        <family val="3"/>
      </rPr>
      <t>歲</t>
    </r>
  </si>
  <si>
    <r>
      <t>65</t>
    </r>
    <r>
      <rPr>
        <sz val="10"/>
        <rFont val="華康粗圓體"/>
        <family val="3"/>
      </rPr>
      <t>歲及以上</t>
    </r>
  </si>
  <si>
    <r>
      <rPr>
        <sz val="10"/>
        <rFont val="華康粗圓體"/>
        <family val="3"/>
      </rPr>
      <t>不詳</t>
    </r>
  </si>
  <si>
    <r>
      <rPr>
        <sz val="10"/>
        <color indexed="8"/>
        <rFont val="華康粗圓體"/>
        <family val="3"/>
      </rPr>
      <t>民國</t>
    </r>
    <r>
      <rPr>
        <sz val="10"/>
        <color indexed="8"/>
        <rFont val="Arial Narrow"/>
        <family val="2"/>
      </rPr>
      <t>97</t>
    </r>
    <r>
      <rPr>
        <sz val="10"/>
        <color indexed="8"/>
        <rFont val="華康粗圓體"/>
        <family val="3"/>
      </rPr>
      <t xml:space="preserve">年
</t>
    </r>
    <r>
      <rPr>
        <sz val="10"/>
        <color indexed="8"/>
        <rFont val="Arial Narrow"/>
        <family val="2"/>
      </rPr>
      <t>2008</t>
    </r>
  </si>
  <si>
    <r>
      <rPr>
        <sz val="10"/>
        <rFont val="華康粗圓體"/>
        <family val="3"/>
      </rPr>
      <t>民國</t>
    </r>
    <r>
      <rPr>
        <sz val="10"/>
        <rFont val="Arial Narrow"/>
        <family val="2"/>
      </rPr>
      <t>99</t>
    </r>
    <r>
      <rPr>
        <sz val="10"/>
        <rFont val="華康粗圓體"/>
        <family val="3"/>
      </rPr>
      <t xml:space="preserve">年
</t>
    </r>
    <r>
      <rPr>
        <sz val="10"/>
        <rFont val="Arial Narrow"/>
        <family val="2"/>
      </rPr>
      <t>2010</t>
    </r>
  </si>
  <si>
    <r>
      <rPr>
        <sz val="10"/>
        <color indexed="8"/>
        <rFont val="華康粗圓體"/>
        <family val="3"/>
      </rPr>
      <t>民國</t>
    </r>
    <r>
      <rPr>
        <sz val="10"/>
        <color indexed="8"/>
        <rFont val="Arial Narrow"/>
        <family val="2"/>
      </rPr>
      <t>100</t>
    </r>
    <r>
      <rPr>
        <sz val="10"/>
        <color indexed="8"/>
        <rFont val="華康粗圓體"/>
        <family val="3"/>
      </rPr>
      <t xml:space="preserve">年
</t>
    </r>
    <r>
      <rPr>
        <sz val="10"/>
        <color indexed="8"/>
        <rFont val="Arial Narrow"/>
        <family val="2"/>
      </rPr>
      <t>2011</t>
    </r>
  </si>
  <si>
    <r>
      <rPr>
        <sz val="10"/>
        <color indexed="8"/>
        <rFont val="華康粗圓體"/>
        <family val="3"/>
      </rPr>
      <t>民國</t>
    </r>
    <r>
      <rPr>
        <sz val="10"/>
        <color indexed="8"/>
        <rFont val="Arial Narrow"/>
        <family val="2"/>
      </rPr>
      <t>101</t>
    </r>
    <r>
      <rPr>
        <sz val="10"/>
        <color indexed="8"/>
        <rFont val="華康粗圓體"/>
        <family val="3"/>
      </rPr>
      <t xml:space="preserve">年
</t>
    </r>
    <r>
      <rPr>
        <sz val="10"/>
        <color indexed="8"/>
        <rFont val="Arial Narrow"/>
        <family val="2"/>
      </rPr>
      <t>2012</t>
    </r>
  </si>
  <si>
    <r>
      <rPr>
        <sz val="10"/>
        <color indexed="8"/>
        <rFont val="華康粗圓體"/>
        <family val="3"/>
      </rPr>
      <t>民國</t>
    </r>
    <r>
      <rPr>
        <sz val="10"/>
        <color indexed="8"/>
        <rFont val="Arial Narrow"/>
        <family val="2"/>
      </rPr>
      <t>102</t>
    </r>
    <r>
      <rPr>
        <sz val="10"/>
        <color indexed="8"/>
        <rFont val="華康粗圓體"/>
        <family val="3"/>
      </rPr>
      <t xml:space="preserve">年
</t>
    </r>
    <r>
      <rPr>
        <sz val="10"/>
        <color indexed="8"/>
        <rFont val="Arial Narrow"/>
        <family val="2"/>
      </rPr>
      <t>2013</t>
    </r>
  </si>
  <si>
    <r>
      <rPr>
        <sz val="10"/>
        <color indexed="8"/>
        <rFont val="華康粗圓體"/>
        <family val="3"/>
      </rPr>
      <t>民國</t>
    </r>
    <r>
      <rPr>
        <sz val="10"/>
        <color indexed="8"/>
        <rFont val="Arial Narrow"/>
        <family val="2"/>
      </rPr>
      <t>103</t>
    </r>
    <r>
      <rPr>
        <sz val="10"/>
        <color indexed="8"/>
        <rFont val="華康粗圓體"/>
        <family val="3"/>
      </rPr>
      <t xml:space="preserve">年
</t>
    </r>
    <r>
      <rPr>
        <sz val="10"/>
        <color indexed="8"/>
        <rFont val="Arial Narrow"/>
        <family val="2"/>
      </rPr>
      <t>2014</t>
    </r>
  </si>
  <si>
    <r>
      <rPr>
        <sz val="10"/>
        <rFont val="華康粗圓體"/>
        <family val="3"/>
      </rPr>
      <t>民國</t>
    </r>
    <r>
      <rPr>
        <sz val="10"/>
        <rFont val="Arial Narrow"/>
        <family val="2"/>
      </rPr>
      <t>104</t>
    </r>
    <r>
      <rPr>
        <sz val="10"/>
        <rFont val="華康粗圓體"/>
        <family val="3"/>
      </rPr>
      <t xml:space="preserve">年
</t>
    </r>
    <r>
      <rPr>
        <sz val="10"/>
        <rFont val="Arial Narrow"/>
        <family val="2"/>
      </rPr>
      <t>2015</t>
    </r>
  </si>
  <si>
    <r>
      <rPr>
        <sz val="10"/>
        <rFont val="華康粗圓體"/>
        <family val="3"/>
      </rPr>
      <t xml:space="preserve">年底別
</t>
    </r>
    <r>
      <rPr>
        <sz val="10"/>
        <rFont val="Arial Narrow"/>
        <family val="2"/>
      </rPr>
      <t>End of Year</t>
    </r>
  </si>
  <si>
    <r>
      <rPr>
        <sz val="10"/>
        <rFont val="華康粗圓體"/>
        <family val="3"/>
      </rPr>
      <t>民國</t>
    </r>
    <r>
      <rPr>
        <sz val="10"/>
        <rFont val="Arial Narrow"/>
        <family val="2"/>
      </rPr>
      <t>97</t>
    </r>
    <r>
      <rPr>
        <sz val="10"/>
        <rFont val="華康粗圓體"/>
        <family val="3"/>
      </rPr>
      <t>年底</t>
    </r>
    <r>
      <rPr>
        <sz val="10"/>
        <rFont val="Arial Narrow"/>
        <family val="2"/>
      </rPr>
      <t xml:space="preserve"> End of 2008</t>
    </r>
  </si>
  <si>
    <r>
      <rPr>
        <sz val="10"/>
        <rFont val="華康粗圓體"/>
        <family val="3"/>
      </rPr>
      <t>民國</t>
    </r>
    <r>
      <rPr>
        <sz val="10"/>
        <rFont val="Arial Narrow"/>
        <family val="2"/>
      </rPr>
      <t>98</t>
    </r>
    <r>
      <rPr>
        <sz val="10"/>
        <rFont val="華康粗圓體"/>
        <family val="3"/>
      </rPr>
      <t>年底</t>
    </r>
    <r>
      <rPr>
        <sz val="10"/>
        <rFont val="Arial Narrow"/>
        <family val="2"/>
      </rPr>
      <t xml:space="preserve"> End of 2009</t>
    </r>
  </si>
  <si>
    <r>
      <rPr>
        <sz val="10"/>
        <rFont val="華康粗圓體"/>
        <family val="3"/>
      </rPr>
      <t>民國</t>
    </r>
    <r>
      <rPr>
        <sz val="10"/>
        <rFont val="Arial Narrow"/>
        <family val="2"/>
      </rPr>
      <t>99</t>
    </r>
    <r>
      <rPr>
        <sz val="10"/>
        <rFont val="華康粗圓體"/>
        <family val="3"/>
      </rPr>
      <t>年底</t>
    </r>
    <r>
      <rPr>
        <sz val="10"/>
        <rFont val="Arial Narrow"/>
        <family val="2"/>
      </rPr>
      <t xml:space="preserve"> End of 2010</t>
    </r>
  </si>
  <si>
    <r>
      <rPr>
        <sz val="10"/>
        <rFont val="華康粗圓體"/>
        <family val="3"/>
      </rPr>
      <t>民國</t>
    </r>
    <r>
      <rPr>
        <sz val="10"/>
        <rFont val="Arial Narrow"/>
        <family val="2"/>
      </rPr>
      <t>100</t>
    </r>
    <r>
      <rPr>
        <sz val="10"/>
        <rFont val="華康粗圓體"/>
        <family val="3"/>
      </rPr>
      <t>年底</t>
    </r>
    <r>
      <rPr>
        <sz val="10"/>
        <rFont val="Arial Narrow"/>
        <family val="2"/>
      </rPr>
      <t xml:space="preserve"> End of 2011</t>
    </r>
  </si>
  <si>
    <r>
      <rPr>
        <sz val="10"/>
        <rFont val="華康粗圓體"/>
        <family val="3"/>
      </rPr>
      <t>民國</t>
    </r>
    <r>
      <rPr>
        <sz val="10"/>
        <rFont val="Arial Narrow"/>
        <family val="2"/>
      </rPr>
      <t>101</t>
    </r>
    <r>
      <rPr>
        <sz val="10"/>
        <rFont val="華康粗圓體"/>
        <family val="3"/>
      </rPr>
      <t>年底</t>
    </r>
    <r>
      <rPr>
        <sz val="10"/>
        <rFont val="Arial Narrow"/>
        <family val="2"/>
      </rPr>
      <t xml:space="preserve"> End of 2012</t>
    </r>
  </si>
  <si>
    <r>
      <rPr>
        <sz val="10"/>
        <rFont val="華康粗圓體"/>
        <family val="3"/>
      </rPr>
      <t>民國</t>
    </r>
    <r>
      <rPr>
        <sz val="10"/>
        <rFont val="Arial Narrow"/>
        <family val="2"/>
      </rPr>
      <t>102</t>
    </r>
    <r>
      <rPr>
        <sz val="10"/>
        <rFont val="華康粗圓體"/>
        <family val="3"/>
      </rPr>
      <t>年底</t>
    </r>
    <r>
      <rPr>
        <sz val="10"/>
        <rFont val="Arial Narrow"/>
        <family val="2"/>
      </rPr>
      <t xml:space="preserve"> End of 2013</t>
    </r>
  </si>
  <si>
    <r>
      <rPr>
        <sz val="10"/>
        <rFont val="華康粗圓體"/>
        <family val="3"/>
      </rPr>
      <t>民國</t>
    </r>
    <r>
      <rPr>
        <sz val="10"/>
        <rFont val="Arial Narrow"/>
        <family val="2"/>
      </rPr>
      <t>103</t>
    </r>
    <r>
      <rPr>
        <sz val="10"/>
        <rFont val="華康粗圓體"/>
        <family val="3"/>
      </rPr>
      <t>年底</t>
    </r>
    <r>
      <rPr>
        <sz val="10"/>
        <rFont val="Arial Narrow"/>
        <family val="2"/>
      </rPr>
      <t xml:space="preserve"> End of 2014</t>
    </r>
  </si>
  <si>
    <r>
      <rPr>
        <sz val="10"/>
        <rFont val="華康粗圓體"/>
        <family val="3"/>
      </rPr>
      <t>民國</t>
    </r>
    <r>
      <rPr>
        <sz val="10"/>
        <rFont val="Arial Narrow"/>
        <family val="2"/>
      </rPr>
      <t>104</t>
    </r>
    <r>
      <rPr>
        <sz val="10"/>
        <rFont val="華康粗圓體"/>
        <family val="3"/>
      </rPr>
      <t>年底</t>
    </r>
    <r>
      <rPr>
        <sz val="10"/>
        <rFont val="Arial Narrow"/>
        <family val="2"/>
      </rPr>
      <t xml:space="preserve"> End of 2015</t>
    </r>
  </si>
  <si>
    <r>
      <t xml:space="preserve">    </t>
    </r>
    <r>
      <rPr>
        <sz val="10"/>
        <rFont val="華康粗圓體"/>
        <family val="3"/>
      </rPr>
      <t>公部門</t>
    </r>
    <r>
      <rPr>
        <sz val="10"/>
        <rFont val="Arial Narrow"/>
        <family val="2"/>
      </rPr>
      <t xml:space="preserve">    </t>
    </r>
  </si>
  <si>
    <r>
      <t xml:space="preserve">         </t>
    </r>
    <r>
      <rPr>
        <sz val="10"/>
        <rFont val="華康粗圓體"/>
        <family val="3"/>
      </rPr>
      <t>桃園市政府社會局</t>
    </r>
  </si>
  <si>
    <r>
      <t xml:space="preserve">         </t>
    </r>
    <r>
      <rPr>
        <sz val="10"/>
        <rFont val="華康粗圓體"/>
        <family val="3"/>
      </rPr>
      <t>各區公所</t>
    </r>
  </si>
  <si>
    <r>
      <t xml:space="preserve">     </t>
    </r>
    <r>
      <rPr>
        <sz val="10"/>
        <rFont val="華康粗圓體"/>
        <family val="3"/>
      </rPr>
      <t>公設民營機構</t>
    </r>
  </si>
  <si>
    <r>
      <t xml:space="preserve">     </t>
    </r>
    <r>
      <rPr>
        <sz val="10"/>
        <rFont val="華康粗圓體"/>
        <family val="3"/>
      </rPr>
      <t>公部門</t>
    </r>
    <r>
      <rPr>
        <sz val="10"/>
        <rFont val="Arial Narrow"/>
        <family val="2"/>
      </rPr>
      <t xml:space="preserve">  </t>
    </r>
  </si>
  <si>
    <r>
      <rPr>
        <sz val="10"/>
        <rFont val="華康粗圓體"/>
        <family val="3"/>
      </rPr>
      <t>總計</t>
    </r>
  </si>
  <si>
    <r>
      <rPr>
        <sz val="10"/>
        <rFont val="華康粗圓體"/>
        <family val="3"/>
      </rPr>
      <t>緊急生活扶助</t>
    </r>
  </si>
  <si>
    <r>
      <rPr>
        <sz val="10"/>
        <rFont val="華康粗圓體"/>
        <family val="3"/>
      </rPr>
      <t>傷病醫療補助</t>
    </r>
  </si>
  <si>
    <r>
      <rPr>
        <sz val="10"/>
        <rFont val="華康粗圓體"/>
        <family val="3"/>
      </rPr>
      <t>法律訴訟補助</t>
    </r>
  </si>
  <si>
    <r>
      <rPr>
        <sz val="10"/>
        <rFont val="華康粗圓體"/>
        <family val="3"/>
      </rPr>
      <t>子女生活津貼</t>
    </r>
  </si>
  <si>
    <r>
      <rPr>
        <sz val="10"/>
        <rFont val="華康粗圓體"/>
        <family val="3"/>
      </rPr>
      <t>兒童托育津貼</t>
    </r>
  </si>
  <si>
    <r>
      <rPr>
        <sz val="10"/>
        <rFont val="華康粗圓體"/>
        <family val="3"/>
      </rPr>
      <t>人次</t>
    </r>
  </si>
  <si>
    <r>
      <rPr>
        <sz val="10"/>
        <rFont val="華康粗圓體"/>
        <family val="3"/>
      </rPr>
      <t>金額</t>
    </r>
  </si>
  <si>
    <r>
      <rPr>
        <sz val="10"/>
        <rFont val="華康粗圓體"/>
        <family val="3"/>
      </rPr>
      <t>人次</t>
    </r>
  </si>
  <si>
    <r>
      <rPr>
        <sz val="10"/>
        <rFont val="華康粗圓體"/>
        <family val="3"/>
      </rPr>
      <t>金額</t>
    </r>
  </si>
  <si>
    <r>
      <rPr>
        <sz val="10"/>
        <rFont val="華康粗圓體"/>
        <family val="3"/>
      </rPr>
      <t>民國</t>
    </r>
    <r>
      <rPr>
        <sz val="10"/>
        <rFont val="Arial Narrow"/>
        <family val="2"/>
      </rPr>
      <t>97</t>
    </r>
    <r>
      <rPr>
        <sz val="10"/>
        <rFont val="華康粗圓體"/>
        <family val="3"/>
      </rPr>
      <t>年</t>
    </r>
    <r>
      <rPr>
        <sz val="10"/>
        <rFont val="Arial Narrow"/>
        <family val="2"/>
      </rPr>
      <t xml:space="preserve"> 2008</t>
    </r>
  </si>
  <si>
    <r>
      <rPr>
        <sz val="10"/>
        <rFont val="華康粗圓體"/>
        <family val="3"/>
      </rPr>
      <t>民國</t>
    </r>
    <r>
      <rPr>
        <sz val="10"/>
        <rFont val="Arial Narrow"/>
        <family val="2"/>
      </rPr>
      <t>98</t>
    </r>
    <r>
      <rPr>
        <sz val="10"/>
        <rFont val="華康粗圓體"/>
        <family val="3"/>
      </rPr>
      <t>年</t>
    </r>
    <r>
      <rPr>
        <sz val="10"/>
        <rFont val="Arial Narrow"/>
        <family val="2"/>
      </rPr>
      <t xml:space="preserve"> 2009</t>
    </r>
  </si>
  <si>
    <r>
      <rPr>
        <sz val="10"/>
        <rFont val="華康粗圓體"/>
        <family val="3"/>
      </rPr>
      <t>民國</t>
    </r>
    <r>
      <rPr>
        <sz val="10"/>
        <rFont val="Arial Narrow"/>
        <family val="2"/>
      </rPr>
      <t>99</t>
    </r>
    <r>
      <rPr>
        <sz val="10"/>
        <rFont val="華康粗圓體"/>
        <family val="3"/>
      </rPr>
      <t>年</t>
    </r>
    <r>
      <rPr>
        <sz val="10"/>
        <rFont val="Arial Narrow"/>
        <family val="2"/>
      </rPr>
      <t xml:space="preserve"> 2010</t>
    </r>
  </si>
  <si>
    <r>
      <rPr>
        <sz val="10"/>
        <rFont val="華康粗圓體"/>
        <family val="3"/>
      </rPr>
      <t>民國</t>
    </r>
    <r>
      <rPr>
        <sz val="10"/>
        <rFont val="Arial Narrow"/>
        <family val="2"/>
      </rPr>
      <t>100</t>
    </r>
    <r>
      <rPr>
        <sz val="10"/>
        <rFont val="華康粗圓體"/>
        <family val="3"/>
      </rPr>
      <t>年</t>
    </r>
    <r>
      <rPr>
        <sz val="10"/>
        <rFont val="Arial Narrow"/>
        <family val="2"/>
      </rPr>
      <t xml:space="preserve"> 2011</t>
    </r>
  </si>
  <si>
    <r>
      <rPr>
        <sz val="10"/>
        <rFont val="華康粗圓體"/>
        <family val="3"/>
      </rPr>
      <t>民國</t>
    </r>
    <r>
      <rPr>
        <sz val="10"/>
        <rFont val="Arial Narrow"/>
        <family val="2"/>
      </rPr>
      <t>101</t>
    </r>
    <r>
      <rPr>
        <sz val="10"/>
        <rFont val="華康粗圓體"/>
        <family val="3"/>
      </rPr>
      <t>年</t>
    </r>
    <r>
      <rPr>
        <sz val="10"/>
        <rFont val="Arial Narrow"/>
        <family val="2"/>
      </rPr>
      <t xml:space="preserve"> 2012</t>
    </r>
  </si>
  <si>
    <r>
      <rPr>
        <sz val="10"/>
        <rFont val="華康粗圓體"/>
        <family val="3"/>
      </rPr>
      <t>民國</t>
    </r>
    <r>
      <rPr>
        <sz val="10"/>
        <rFont val="Arial Narrow"/>
        <family val="2"/>
      </rPr>
      <t>102</t>
    </r>
    <r>
      <rPr>
        <sz val="10"/>
        <rFont val="華康粗圓體"/>
        <family val="3"/>
      </rPr>
      <t>年</t>
    </r>
    <r>
      <rPr>
        <sz val="10"/>
        <rFont val="Arial Narrow"/>
        <family val="2"/>
      </rPr>
      <t xml:space="preserve"> 2013</t>
    </r>
  </si>
  <si>
    <r>
      <rPr>
        <sz val="10"/>
        <rFont val="華康粗圓體"/>
        <family val="3"/>
      </rPr>
      <t>民國</t>
    </r>
    <r>
      <rPr>
        <sz val="10"/>
        <rFont val="Arial Narrow"/>
        <family val="2"/>
      </rPr>
      <t>103</t>
    </r>
    <r>
      <rPr>
        <sz val="10"/>
        <rFont val="華康粗圓體"/>
        <family val="3"/>
      </rPr>
      <t>年</t>
    </r>
    <r>
      <rPr>
        <sz val="10"/>
        <rFont val="Arial Narrow"/>
        <family val="2"/>
      </rPr>
      <t xml:space="preserve"> 2014</t>
    </r>
  </si>
  <si>
    <r>
      <rPr>
        <sz val="10"/>
        <rFont val="華康粗圓體"/>
        <family val="3"/>
      </rPr>
      <t>民國</t>
    </r>
    <r>
      <rPr>
        <sz val="10"/>
        <rFont val="Arial Narrow"/>
        <family val="2"/>
      </rPr>
      <t>104</t>
    </r>
    <r>
      <rPr>
        <sz val="10"/>
        <rFont val="華康粗圓體"/>
        <family val="3"/>
      </rPr>
      <t>年</t>
    </r>
    <r>
      <rPr>
        <sz val="10"/>
        <rFont val="Arial Narrow"/>
        <family val="2"/>
      </rPr>
      <t xml:space="preserve"> 2015</t>
    </r>
  </si>
  <si>
    <r>
      <rPr>
        <sz val="10"/>
        <rFont val="華康粗圓體"/>
        <family val="3"/>
      </rPr>
      <t>其他</t>
    </r>
  </si>
  <si>
    <r>
      <rPr>
        <sz val="10"/>
        <rFont val="華康粗圓體"/>
        <family val="3"/>
      </rPr>
      <t>年　底　別</t>
    </r>
  </si>
  <si>
    <r>
      <rPr>
        <sz val="10"/>
        <rFont val="華康粗圓體"/>
        <family val="3"/>
      </rPr>
      <t>總計</t>
    </r>
  </si>
  <si>
    <r>
      <rPr>
        <sz val="10"/>
        <rFont val="華康粗圓體"/>
        <family val="3"/>
      </rPr>
      <t>私立托兒所</t>
    </r>
  </si>
  <si>
    <r>
      <rPr>
        <sz val="10"/>
        <rFont val="華康粗圓體"/>
        <family val="3"/>
      </rPr>
      <t>所數</t>
    </r>
  </si>
  <si>
    <r>
      <rPr>
        <sz val="10"/>
        <rFont val="華康粗圓體"/>
        <family val="3"/>
      </rPr>
      <t>收托人數</t>
    </r>
  </si>
  <si>
    <r>
      <rPr>
        <sz val="10"/>
        <rFont val="華康粗圓體"/>
        <family val="3"/>
      </rPr>
      <t>職工人數</t>
    </r>
  </si>
  <si>
    <r>
      <rPr>
        <sz val="10"/>
        <rFont val="華康粗圓體"/>
        <family val="3"/>
      </rPr>
      <t>保育人數</t>
    </r>
  </si>
  <si>
    <r>
      <rPr>
        <sz val="10"/>
        <rFont val="華康粗圓體"/>
        <family val="3"/>
      </rPr>
      <t>民國</t>
    </r>
    <r>
      <rPr>
        <sz val="10"/>
        <rFont val="Arial Narrow"/>
        <family val="2"/>
      </rPr>
      <t>97</t>
    </r>
    <r>
      <rPr>
        <sz val="10"/>
        <rFont val="華康粗圓體"/>
        <family val="3"/>
      </rPr>
      <t xml:space="preserve">年底
</t>
    </r>
    <r>
      <rPr>
        <sz val="10"/>
        <rFont val="Arial Narrow"/>
        <family val="2"/>
      </rPr>
      <t>End of 2008</t>
    </r>
  </si>
  <si>
    <r>
      <rPr>
        <sz val="10"/>
        <rFont val="華康粗圓體"/>
        <family val="3"/>
      </rPr>
      <t>民國</t>
    </r>
    <r>
      <rPr>
        <sz val="10"/>
        <rFont val="Arial Narrow"/>
        <family val="2"/>
      </rPr>
      <t>98</t>
    </r>
    <r>
      <rPr>
        <sz val="10"/>
        <rFont val="華康粗圓體"/>
        <family val="3"/>
      </rPr>
      <t xml:space="preserve">年底
</t>
    </r>
    <r>
      <rPr>
        <sz val="10"/>
        <rFont val="Arial Narrow"/>
        <family val="2"/>
      </rPr>
      <t>End of 2008</t>
    </r>
  </si>
  <si>
    <r>
      <rPr>
        <sz val="10"/>
        <rFont val="華康粗圓體"/>
        <family val="3"/>
      </rPr>
      <t>民國</t>
    </r>
    <r>
      <rPr>
        <sz val="10"/>
        <rFont val="Arial Narrow"/>
        <family val="2"/>
      </rPr>
      <t>99</t>
    </r>
    <r>
      <rPr>
        <sz val="10"/>
        <rFont val="華康粗圓體"/>
        <family val="3"/>
      </rPr>
      <t xml:space="preserve">年底
</t>
    </r>
    <r>
      <rPr>
        <sz val="10"/>
        <rFont val="Arial Narrow"/>
        <family val="2"/>
      </rPr>
      <t>End of 2010</t>
    </r>
  </si>
  <si>
    <r>
      <rPr>
        <sz val="10"/>
        <rFont val="華康粗圓體"/>
        <family val="3"/>
      </rPr>
      <t>民國</t>
    </r>
    <r>
      <rPr>
        <sz val="10"/>
        <rFont val="Arial Narrow"/>
        <family val="2"/>
      </rPr>
      <t>100</t>
    </r>
    <r>
      <rPr>
        <sz val="10"/>
        <rFont val="華康粗圓體"/>
        <family val="3"/>
      </rPr>
      <t xml:space="preserve">年底
</t>
    </r>
    <r>
      <rPr>
        <sz val="10"/>
        <rFont val="Arial Narrow"/>
        <family val="2"/>
      </rPr>
      <t>End of 2011</t>
    </r>
  </si>
  <si>
    <r>
      <rPr>
        <sz val="10"/>
        <rFont val="華康粗圓體"/>
        <family val="3"/>
      </rPr>
      <t>公立托嬰中心</t>
    </r>
  </si>
  <si>
    <r>
      <rPr>
        <sz val="10"/>
        <rFont val="華康粗圓體"/>
        <family val="3"/>
      </rPr>
      <t>收托
人數</t>
    </r>
  </si>
  <si>
    <r>
      <rPr>
        <sz val="10"/>
        <rFont val="華康粗圓體"/>
        <family val="3"/>
      </rPr>
      <t>專業
人員數</t>
    </r>
  </si>
  <si>
    <r>
      <rPr>
        <sz val="10"/>
        <rFont val="華康粗圓體"/>
        <family val="3"/>
      </rPr>
      <t>保母</t>
    </r>
  </si>
  <si>
    <r>
      <rPr>
        <sz val="10"/>
        <rFont val="華康粗圓體"/>
        <family val="3"/>
      </rPr>
      <t>民國</t>
    </r>
    <r>
      <rPr>
        <sz val="10"/>
        <rFont val="Arial Narrow"/>
        <family val="2"/>
      </rPr>
      <t>102</t>
    </r>
    <r>
      <rPr>
        <sz val="10"/>
        <rFont val="華康粗圓體"/>
        <family val="3"/>
      </rPr>
      <t xml:space="preserve">年底
</t>
    </r>
    <r>
      <rPr>
        <sz val="10"/>
        <rFont val="Arial Narrow"/>
        <family val="2"/>
      </rPr>
      <t>End of 2013</t>
    </r>
  </si>
  <si>
    <r>
      <rPr>
        <sz val="10"/>
        <rFont val="華康粗圓體"/>
        <family val="3"/>
      </rPr>
      <t>民國</t>
    </r>
    <r>
      <rPr>
        <sz val="10"/>
        <rFont val="Arial Narrow"/>
        <family val="2"/>
      </rPr>
      <t>103</t>
    </r>
    <r>
      <rPr>
        <sz val="10"/>
        <rFont val="華康粗圓體"/>
        <family val="3"/>
      </rPr>
      <t xml:space="preserve">年底
</t>
    </r>
    <r>
      <rPr>
        <sz val="10"/>
        <rFont val="Arial Narrow"/>
        <family val="2"/>
      </rPr>
      <t>End of 2014</t>
    </r>
  </si>
  <si>
    <r>
      <rPr>
        <sz val="10"/>
        <rFont val="華康粗圓體"/>
        <family val="3"/>
      </rPr>
      <t>民國</t>
    </r>
    <r>
      <rPr>
        <sz val="10"/>
        <rFont val="Arial Narrow"/>
        <family val="2"/>
      </rPr>
      <t>104</t>
    </r>
    <r>
      <rPr>
        <sz val="10"/>
        <rFont val="華康粗圓體"/>
        <family val="3"/>
      </rPr>
      <t xml:space="preserve">年底
</t>
    </r>
    <r>
      <rPr>
        <sz val="10"/>
        <rFont val="Arial Narrow"/>
        <family val="2"/>
      </rPr>
      <t>End of 2015</t>
    </r>
  </si>
  <si>
    <r>
      <rPr>
        <sz val="10"/>
        <rFont val="華康粗圓體"/>
        <family val="3"/>
      </rPr>
      <t>年別</t>
    </r>
  </si>
  <si>
    <r>
      <rPr>
        <sz val="10"/>
        <rFont val="華康粗圓體"/>
        <family val="3"/>
      </rPr>
      <t>年底家庭寄養</t>
    </r>
  </si>
  <si>
    <r>
      <rPr>
        <sz val="10"/>
        <rFont val="華康粗圓體"/>
        <family val="3"/>
      </rPr>
      <t>辦理育樂
活動參加
人　　次</t>
    </r>
  </si>
  <si>
    <r>
      <rPr>
        <sz val="10"/>
        <rFont val="華康粗圓體"/>
        <family val="3"/>
      </rPr>
      <t>年底安置及教養機構</t>
    </r>
  </si>
  <si>
    <r>
      <rPr>
        <sz val="10"/>
        <rFont val="華康粗圓體"/>
        <family val="3"/>
      </rPr>
      <t>心理輔導或家庭諮詢機構</t>
    </r>
  </si>
  <si>
    <r>
      <rPr>
        <sz val="10"/>
        <rFont val="華康粗圓體"/>
        <family val="3"/>
      </rPr>
      <t>其他福利服務機構</t>
    </r>
  </si>
  <si>
    <r>
      <rPr>
        <sz val="10"/>
        <rFont val="華康粗圓體"/>
        <family val="3"/>
      </rPr>
      <t xml:space="preserve">寄養家
庭戶數
</t>
    </r>
    <r>
      <rPr>
        <sz val="10"/>
        <rFont val="Arial Narrow"/>
        <family val="2"/>
      </rPr>
      <t>(</t>
    </r>
    <r>
      <rPr>
        <sz val="10"/>
        <rFont val="華康粗圓體"/>
        <family val="3"/>
      </rPr>
      <t>戶</t>
    </r>
    <r>
      <rPr>
        <sz val="10"/>
        <rFont val="Arial Narrow"/>
        <family val="2"/>
      </rPr>
      <t>)</t>
    </r>
  </si>
  <si>
    <r>
      <rPr>
        <sz val="10"/>
        <rFont val="華康粗圓體"/>
        <family val="3"/>
      </rPr>
      <t>寄養兒童及少年人數</t>
    </r>
  </si>
  <si>
    <r>
      <rPr>
        <sz val="10"/>
        <rFont val="華康粗圓體"/>
        <family val="3"/>
      </rPr>
      <t>生活扶助</t>
    </r>
  </si>
  <si>
    <r>
      <rPr>
        <sz val="10"/>
        <rFont val="華康粗圓體"/>
        <family val="3"/>
      </rPr>
      <t>醫療補助</t>
    </r>
  </si>
  <si>
    <r>
      <rPr>
        <sz val="10"/>
        <rFont val="華康粗圓體"/>
        <family val="3"/>
      </rPr>
      <t xml:space="preserve">托育補助
</t>
    </r>
    <r>
      <rPr>
        <sz val="10"/>
        <rFont val="Arial Narrow"/>
        <family val="2"/>
      </rPr>
      <t>(</t>
    </r>
    <r>
      <rPr>
        <sz val="10"/>
        <rFont val="華康粗圓體"/>
        <family val="3"/>
      </rPr>
      <t>津貼</t>
    </r>
    <r>
      <rPr>
        <sz val="10"/>
        <rFont val="Arial Narrow"/>
        <family val="2"/>
      </rPr>
      <t>)</t>
    </r>
  </si>
  <si>
    <r>
      <rPr>
        <sz val="10"/>
        <rFont val="華康粗圓體"/>
        <family val="3"/>
      </rPr>
      <t>機構數</t>
    </r>
  </si>
  <si>
    <r>
      <rPr>
        <sz val="10"/>
        <rFont val="華康粗圓體"/>
        <family val="3"/>
      </rPr>
      <t>現有收容人數</t>
    </r>
  </si>
  <si>
    <r>
      <rPr>
        <sz val="10"/>
        <rFont val="華康粗圓體"/>
        <family val="3"/>
      </rPr>
      <t>年底
機構數</t>
    </r>
  </si>
  <si>
    <r>
      <rPr>
        <sz val="10"/>
        <rFont val="華康粗圓體"/>
        <family val="3"/>
      </rPr>
      <t>服務人次</t>
    </r>
  </si>
  <si>
    <r>
      <rPr>
        <sz val="10"/>
        <rFont val="華康粗圓體"/>
        <family val="3"/>
      </rPr>
      <t>民國</t>
    </r>
    <r>
      <rPr>
        <sz val="10"/>
        <rFont val="Arial Narrow"/>
        <family val="2"/>
      </rPr>
      <t>97</t>
    </r>
    <r>
      <rPr>
        <sz val="10"/>
        <rFont val="華康粗圓體"/>
        <family val="3"/>
      </rPr>
      <t xml:space="preserve">年
</t>
    </r>
    <r>
      <rPr>
        <sz val="10"/>
        <rFont val="Arial Narrow"/>
        <family val="2"/>
      </rPr>
      <t>2008</t>
    </r>
  </si>
  <si>
    <r>
      <rPr>
        <sz val="10"/>
        <rFont val="華康粗圓體"/>
        <family val="3"/>
      </rPr>
      <t>民國</t>
    </r>
    <r>
      <rPr>
        <sz val="10"/>
        <rFont val="Arial Narrow"/>
        <family val="2"/>
      </rPr>
      <t>98</t>
    </r>
    <r>
      <rPr>
        <sz val="10"/>
        <rFont val="華康粗圓體"/>
        <family val="3"/>
      </rPr>
      <t xml:space="preserve">年
</t>
    </r>
    <r>
      <rPr>
        <sz val="10"/>
        <rFont val="Arial Narrow"/>
        <family val="2"/>
      </rPr>
      <t>2009</t>
    </r>
  </si>
  <si>
    <r>
      <rPr>
        <sz val="10"/>
        <rFont val="華康粗圓體"/>
        <family val="3"/>
      </rPr>
      <t>民國</t>
    </r>
    <r>
      <rPr>
        <sz val="10"/>
        <rFont val="Arial Narrow"/>
        <family val="2"/>
      </rPr>
      <t>99</t>
    </r>
    <r>
      <rPr>
        <sz val="10"/>
        <rFont val="華康粗圓體"/>
        <family val="3"/>
      </rPr>
      <t xml:space="preserve">年
</t>
    </r>
    <r>
      <rPr>
        <sz val="10"/>
        <rFont val="Arial Narrow"/>
        <family val="2"/>
      </rPr>
      <t>2010</t>
    </r>
  </si>
  <si>
    <r>
      <rPr>
        <sz val="10"/>
        <rFont val="華康粗圓體"/>
        <family val="3"/>
      </rPr>
      <t>民國</t>
    </r>
    <r>
      <rPr>
        <sz val="10"/>
        <rFont val="Arial Narrow"/>
        <family val="2"/>
      </rPr>
      <t>100</t>
    </r>
    <r>
      <rPr>
        <sz val="10"/>
        <rFont val="華康粗圓體"/>
        <family val="3"/>
      </rPr>
      <t xml:space="preserve">年
</t>
    </r>
    <r>
      <rPr>
        <sz val="10"/>
        <rFont val="Arial Narrow"/>
        <family val="2"/>
      </rPr>
      <t>2011</t>
    </r>
  </si>
  <si>
    <r>
      <rPr>
        <sz val="10"/>
        <rFont val="華康粗圓體"/>
        <family val="3"/>
      </rPr>
      <t>民國</t>
    </r>
    <r>
      <rPr>
        <sz val="10"/>
        <rFont val="Arial Narrow"/>
        <family val="2"/>
      </rPr>
      <t>101</t>
    </r>
    <r>
      <rPr>
        <sz val="10"/>
        <rFont val="華康粗圓體"/>
        <family val="3"/>
      </rPr>
      <t xml:space="preserve">年
</t>
    </r>
    <r>
      <rPr>
        <sz val="10"/>
        <rFont val="Arial Narrow"/>
        <family val="2"/>
      </rPr>
      <t>2012</t>
    </r>
  </si>
  <si>
    <r>
      <rPr>
        <sz val="10"/>
        <rFont val="華康粗圓體"/>
        <family val="3"/>
      </rPr>
      <t>民國</t>
    </r>
    <r>
      <rPr>
        <sz val="10"/>
        <rFont val="Arial Narrow"/>
        <family val="2"/>
      </rPr>
      <t>102</t>
    </r>
    <r>
      <rPr>
        <sz val="10"/>
        <rFont val="華康粗圓體"/>
        <family val="3"/>
      </rPr>
      <t xml:space="preserve">年
</t>
    </r>
    <r>
      <rPr>
        <sz val="10"/>
        <rFont val="Arial Narrow"/>
        <family val="2"/>
      </rPr>
      <t>2013</t>
    </r>
  </si>
  <si>
    <r>
      <rPr>
        <sz val="10"/>
        <rFont val="華康粗圓體"/>
        <family val="3"/>
      </rPr>
      <t>民國</t>
    </r>
    <r>
      <rPr>
        <sz val="10"/>
        <rFont val="Arial Narrow"/>
        <family val="2"/>
      </rPr>
      <t>103</t>
    </r>
    <r>
      <rPr>
        <sz val="10"/>
        <rFont val="華康粗圓體"/>
        <family val="3"/>
      </rPr>
      <t xml:space="preserve">年
</t>
    </r>
    <r>
      <rPr>
        <sz val="10"/>
        <rFont val="Arial Narrow"/>
        <family val="2"/>
      </rPr>
      <t>2014</t>
    </r>
  </si>
  <si>
    <r>
      <rPr>
        <sz val="10"/>
        <rFont val="華康粗圓體"/>
        <family val="3"/>
      </rPr>
      <t>年底老人長期照顧及安養機構</t>
    </r>
  </si>
  <si>
    <r>
      <rPr>
        <sz val="10"/>
        <rFont val="華康粗圓體"/>
        <family val="3"/>
      </rPr>
      <t>長期照顧機構</t>
    </r>
  </si>
  <si>
    <r>
      <rPr>
        <sz val="10"/>
        <rFont val="華康粗圓體"/>
        <family val="3"/>
      </rPr>
      <t>安養機構</t>
    </r>
  </si>
  <si>
    <r>
      <rPr>
        <sz val="10"/>
        <rFont val="華康粗圓體"/>
        <family val="3"/>
      </rPr>
      <t>長期照護</t>
    </r>
    <r>
      <rPr>
        <sz val="10"/>
        <rFont val="Arial Narrow"/>
        <family val="2"/>
      </rPr>
      <t>(</t>
    </r>
    <r>
      <rPr>
        <sz val="10"/>
        <rFont val="華康粗圓體"/>
        <family val="3"/>
      </rPr>
      <t>型</t>
    </r>
    <r>
      <rPr>
        <sz val="10"/>
        <rFont val="Arial Narrow"/>
        <family val="2"/>
      </rPr>
      <t>)</t>
    </r>
    <r>
      <rPr>
        <sz val="10"/>
        <rFont val="華康粗圓體"/>
        <family val="3"/>
      </rPr>
      <t>機構</t>
    </r>
  </si>
  <si>
    <r>
      <rPr>
        <sz val="10"/>
        <rFont val="華康粗圓體"/>
        <family val="3"/>
      </rPr>
      <t>養護</t>
    </r>
    <r>
      <rPr>
        <sz val="10"/>
        <rFont val="Arial Narrow"/>
        <family val="2"/>
      </rPr>
      <t>(</t>
    </r>
    <r>
      <rPr>
        <sz val="10"/>
        <rFont val="華康粗圓體"/>
        <family val="3"/>
      </rPr>
      <t>型</t>
    </r>
    <r>
      <rPr>
        <sz val="10"/>
        <rFont val="Arial Narrow"/>
        <family val="2"/>
      </rPr>
      <t>)</t>
    </r>
    <r>
      <rPr>
        <sz val="10"/>
        <rFont val="華康粗圓體"/>
        <family val="3"/>
      </rPr>
      <t>機構</t>
    </r>
  </si>
  <si>
    <r>
      <rPr>
        <sz val="10"/>
        <rFont val="華康粗圓體"/>
        <family val="3"/>
      </rPr>
      <t>失智照顧型機構</t>
    </r>
  </si>
  <si>
    <r>
      <rPr>
        <sz val="10"/>
        <rFont val="華康粗圓體"/>
        <family val="3"/>
      </rPr>
      <t>實際進住人數</t>
    </r>
  </si>
  <si>
    <r>
      <rPr>
        <sz val="10"/>
        <rFont val="華康粗圓體"/>
        <family val="3"/>
      </rPr>
      <t>處</t>
    </r>
    <r>
      <rPr>
        <sz val="10"/>
        <rFont val="Arial Narrow"/>
        <family val="2"/>
      </rPr>
      <t xml:space="preserve">    </t>
    </r>
    <r>
      <rPr>
        <sz val="10"/>
        <rFont val="華康粗圓體"/>
        <family val="3"/>
      </rPr>
      <t>理</t>
    </r>
    <r>
      <rPr>
        <sz val="10"/>
        <rFont val="Arial Narrow"/>
        <family val="2"/>
      </rPr>
      <t xml:space="preserve">    </t>
    </r>
    <r>
      <rPr>
        <sz val="10"/>
        <rFont val="華康粗圓體"/>
        <family val="3"/>
      </rPr>
      <t>遊</t>
    </r>
    <r>
      <rPr>
        <sz val="10"/>
        <rFont val="Arial Narrow"/>
        <family val="2"/>
      </rPr>
      <t xml:space="preserve">    </t>
    </r>
    <r>
      <rPr>
        <sz val="10"/>
        <rFont val="華康粗圓體"/>
        <family val="3"/>
      </rPr>
      <t>民</t>
    </r>
    <r>
      <rPr>
        <sz val="10"/>
        <rFont val="Arial Narrow"/>
        <family val="2"/>
      </rPr>
      <t xml:space="preserve">    </t>
    </r>
    <r>
      <rPr>
        <sz val="10"/>
        <rFont val="華康粗圓體"/>
        <family val="3"/>
      </rPr>
      <t>情</t>
    </r>
    <r>
      <rPr>
        <sz val="10"/>
        <rFont val="Arial Narrow"/>
        <family val="2"/>
      </rPr>
      <t xml:space="preserve">    </t>
    </r>
    <r>
      <rPr>
        <sz val="10"/>
        <rFont val="華康粗圓體"/>
        <family val="3"/>
      </rPr>
      <t>形</t>
    </r>
    <r>
      <rPr>
        <sz val="10"/>
        <rFont val="Arial Narrow"/>
        <family val="2"/>
      </rPr>
      <t xml:space="preserve">    (</t>
    </r>
    <r>
      <rPr>
        <sz val="10"/>
        <rFont val="華康粗圓體"/>
        <family val="3"/>
      </rPr>
      <t>人次</t>
    </r>
    <r>
      <rPr>
        <sz val="10"/>
        <rFont val="Arial Narrow"/>
        <family val="2"/>
      </rPr>
      <t>)</t>
    </r>
  </si>
  <si>
    <r>
      <rPr>
        <sz val="10"/>
        <rFont val="華康粗圓體"/>
        <family val="3"/>
      </rPr>
      <t>協助返家</t>
    </r>
  </si>
  <si>
    <r>
      <rPr>
        <sz val="10"/>
        <rFont val="華康粗圓體"/>
        <family val="3"/>
      </rPr>
      <t>關懷服務</t>
    </r>
  </si>
  <si>
    <r>
      <rPr>
        <sz val="10"/>
        <rFont val="華康粗圓體"/>
        <family val="3"/>
      </rPr>
      <t>年節活動</t>
    </r>
  </si>
  <si>
    <r>
      <rPr>
        <sz val="10"/>
        <rFont val="華康粗圓體"/>
        <family val="3"/>
      </rPr>
      <t>因故死亡</t>
    </r>
  </si>
  <si>
    <r>
      <rPr>
        <sz val="10"/>
        <rFont val="華康粗圓體"/>
        <family val="3"/>
      </rPr>
      <t>其他</t>
    </r>
  </si>
  <si>
    <r>
      <rPr>
        <sz val="10"/>
        <rFont val="華康粗圓體"/>
        <family val="3"/>
      </rPr>
      <t>計</t>
    </r>
  </si>
  <si>
    <r>
      <rPr>
        <sz val="10"/>
        <rFont val="華康粗圓體"/>
        <family val="3"/>
      </rPr>
      <t>老人安養
機　　構</t>
    </r>
  </si>
  <si>
    <r>
      <rPr>
        <sz val="10"/>
        <rFont val="華康粗圓體"/>
        <family val="3"/>
      </rPr>
      <t>老人養護
機　　構</t>
    </r>
  </si>
  <si>
    <r>
      <rPr>
        <sz val="10"/>
        <rFont val="華康粗圓體"/>
        <family val="3"/>
      </rPr>
      <t>身心障礙
福利機構</t>
    </r>
  </si>
  <si>
    <r>
      <rPr>
        <sz val="10"/>
        <rFont val="華康粗圓體"/>
        <family val="3"/>
      </rPr>
      <t>年　　別</t>
    </r>
  </si>
  <si>
    <r>
      <rPr>
        <sz val="10"/>
        <rFont val="華康粗圓體"/>
        <family val="3"/>
      </rPr>
      <t xml:space="preserve">災害次數
</t>
    </r>
    <r>
      <rPr>
        <sz val="10"/>
        <rFont val="Arial Narrow"/>
        <family val="2"/>
      </rPr>
      <t>(</t>
    </r>
    <r>
      <rPr>
        <sz val="10"/>
        <rFont val="華康粗圓體"/>
        <family val="3"/>
      </rPr>
      <t>次</t>
    </r>
    <r>
      <rPr>
        <sz val="10"/>
        <rFont val="Arial Narrow"/>
        <family val="2"/>
      </rPr>
      <t>)</t>
    </r>
  </si>
  <si>
    <r>
      <rPr>
        <sz val="10"/>
        <rFont val="華康粗圓體"/>
        <family val="3"/>
      </rPr>
      <t>收容所</t>
    </r>
    <r>
      <rPr>
        <sz val="10"/>
        <rFont val="Arial Narrow"/>
        <family val="2"/>
      </rPr>
      <t xml:space="preserve"> Temp. Sheltering Centers</t>
    </r>
  </si>
  <si>
    <r>
      <rPr>
        <sz val="10"/>
        <rFont val="華康粗圓體"/>
        <family val="3"/>
      </rPr>
      <t>受災人數</t>
    </r>
    <r>
      <rPr>
        <sz val="10"/>
        <rFont val="Arial Narrow"/>
        <family val="2"/>
      </rPr>
      <t xml:space="preserve"> (</t>
    </r>
    <r>
      <rPr>
        <sz val="10"/>
        <rFont val="華康粗圓體"/>
        <family val="3"/>
      </rPr>
      <t>人</t>
    </r>
    <r>
      <rPr>
        <sz val="10"/>
        <rFont val="Arial Narrow"/>
        <family val="2"/>
      </rPr>
      <t>)</t>
    </r>
  </si>
  <si>
    <r>
      <rPr>
        <sz val="10"/>
        <rFont val="華康粗圓體"/>
        <family val="3"/>
      </rPr>
      <t>安遷救助</t>
    </r>
    <r>
      <rPr>
        <sz val="10"/>
        <rFont val="Arial Narrow"/>
        <family val="2"/>
      </rPr>
      <t xml:space="preserve"> Moving Assistance</t>
    </r>
  </si>
  <si>
    <r>
      <rPr>
        <sz val="10"/>
        <rFont val="華康粗圓體"/>
        <family val="3"/>
      </rPr>
      <t xml:space="preserve">財物受損
影響生計者
</t>
    </r>
    <r>
      <rPr>
        <sz val="10"/>
        <rFont val="Arial Narrow"/>
        <family val="2"/>
      </rPr>
      <t>(</t>
    </r>
    <r>
      <rPr>
        <sz val="10"/>
        <rFont val="華康粗圓體"/>
        <family val="3"/>
      </rPr>
      <t>戶</t>
    </r>
    <r>
      <rPr>
        <sz val="10"/>
        <rFont val="Arial Narrow"/>
        <family val="2"/>
      </rPr>
      <t>)</t>
    </r>
  </si>
  <si>
    <r>
      <rPr>
        <sz val="10"/>
        <rFont val="華康粗圓體"/>
        <family val="3"/>
      </rPr>
      <t xml:space="preserve">救助金額
</t>
    </r>
    <r>
      <rPr>
        <sz val="10"/>
        <rFont val="Arial Narrow"/>
        <family val="2"/>
      </rPr>
      <t>(</t>
    </r>
    <r>
      <rPr>
        <sz val="10"/>
        <rFont val="華康粗圓體"/>
        <family val="3"/>
      </rPr>
      <t>千元</t>
    </r>
    <r>
      <rPr>
        <sz val="10"/>
        <rFont val="Arial Narrow"/>
        <family val="2"/>
      </rPr>
      <t>)</t>
    </r>
  </si>
  <si>
    <r>
      <rPr>
        <sz val="10"/>
        <rFont val="華康粗圓體"/>
        <family val="3"/>
      </rPr>
      <t xml:space="preserve">所數
</t>
    </r>
    <r>
      <rPr>
        <sz val="10"/>
        <rFont val="Arial Narrow"/>
        <family val="2"/>
      </rPr>
      <t>(</t>
    </r>
    <r>
      <rPr>
        <sz val="10"/>
        <rFont val="華康粗圓體"/>
        <family val="3"/>
      </rPr>
      <t>所</t>
    </r>
    <r>
      <rPr>
        <sz val="10"/>
        <rFont val="Arial Narrow"/>
        <family val="2"/>
      </rPr>
      <t>)</t>
    </r>
  </si>
  <si>
    <r>
      <rPr>
        <sz val="10"/>
        <rFont val="華康粗圓體"/>
        <family val="3"/>
      </rPr>
      <t xml:space="preserve">臨時收容災民數
</t>
    </r>
    <r>
      <rPr>
        <sz val="10"/>
        <rFont val="Arial Narrow"/>
        <family val="2"/>
      </rPr>
      <t>(</t>
    </r>
    <r>
      <rPr>
        <sz val="10"/>
        <rFont val="華康粗圓體"/>
        <family val="3"/>
      </rPr>
      <t>人</t>
    </r>
    <r>
      <rPr>
        <sz val="10"/>
        <rFont val="Arial Narrow"/>
        <family val="2"/>
      </rPr>
      <t>)</t>
    </r>
  </si>
  <si>
    <r>
      <rPr>
        <sz val="10"/>
        <rFont val="華康粗圓體"/>
        <family val="3"/>
      </rPr>
      <t>死亡</t>
    </r>
  </si>
  <si>
    <r>
      <rPr>
        <sz val="10"/>
        <rFont val="華康粗圓體"/>
        <family val="3"/>
      </rPr>
      <t>失蹤</t>
    </r>
  </si>
  <si>
    <r>
      <rPr>
        <sz val="10"/>
        <rFont val="華康粗圓體"/>
        <family val="3"/>
      </rPr>
      <t>重傷</t>
    </r>
  </si>
  <si>
    <r>
      <rPr>
        <sz val="10"/>
        <rFont val="華康粗圓體"/>
        <family val="3"/>
      </rPr>
      <t xml:space="preserve">戶數
</t>
    </r>
    <r>
      <rPr>
        <sz val="10"/>
        <rFont val="Arial Narrow"/>
        <family val="2"/>
      </rPr>
      <t>(</t>
    </r>
    <r>
      <rPr>
        <sz val="10"/>
        <rFont val="華康粗圓體"/>
        <family val="3"/>
      </rPr>
      <t>戶</t>
    </r>
    <r>
      <rPr>
        <sz val="10"/>
        <rFont val="Arial Narrow"/>
        <family val="2"/>
      </rPr>
      <t>)</t>
    </r>
  </si>
  <si>
    <r>
      <rPr>
        <sz val="10"/>
        <rFont val="華康粗圓體"/>
        <family val="3"/>
      </rPr>
      <t xml:space="preserve">人數
</t>
    </r>
    <r>
      <rPr>
        <sz val="10"/>
        <rFont val="Arial Narrow"/>
        <family val="2"/>
      </rPr>
      <t>(</t>
    </r>
    <r>
      <rPr>
        <sz val="10"/>
        <rFont val="華康粗圓體"/>
        <family val="3"/>
      </rPr>
      <t>人</t>
    </r>
    <r>
      <rPr>
        <sz val="10"/>
        <rFont val="Arial Narrow"/>
        <family val="2"/>
      </rPr>
      <t>)</t>
    </r>
  </si>
  <si>
    <r>
      <rPr>
        <sz val="10"/>
        <rFont val="華康粗圓體"/>
        <family val="3"/>
      </rPr>
      <t>民國</t>
    </r>
    <r>
      <rPr>
        <sz val="10"/>
        <rFont val="Arial Narrow"/>
        <family val="2"/>
      </rPr>
      <t>97</t>
    </r>
    <r>
      <rPr>
        <sz val="10"/>
        <rFont val="華康粗圓體"/>
        <family val="3"/>
      </rPr>
      <t xml:space="preserve">年
</t>
    </r>
    <r>
      <rPr>
        <sz val="10"/>
        <rFont val="Arial Narrow"/>
        <family val="2"/>
      </rPr>
      <t>2008</t>
    </r>
  </si>
  <si>
    <r>
      <rPr>
        <sz val="10"/>
        <rFont val="華康粗圓體"/>
        <family val="3"/>
      </rPr>
      <t>民眾</t>
    </r>
  </si>
  <si>
    <r>
      <rPr>
        <sz val="10"/>
        <rFont val="華康粗圓體"/>
        <family val="3"/>
      </rPr>
      <t>後備軍人及榮民</t>
    </r>
  </si>
  <si>
    <r>
      <rPr>
        <sz val="10"/>
        <rFont val="華康粗圓體"/>
        <family val="3"/>
      </rPr>
      <t>生活突然發生困難者</t>
    </r>
  </si>
  <si>
    <r>
      <rPr>
        <sz val="10"/>
        <rFont val="華康粗圓體"/>
        <family val="3"/>
      </rPr>
      <t>醫療費用及喪葬費用無力負擔者</t>
    </r>
  </si>
  <si>
    <r>
      <rPr>
        <sz val="10"/>
        <rFont val="華康粗圓體"/>
        <family val="3"/>
      </rPr>
      <t>其他意外變故需緊急救助者</t>
    </r>
  </si>
  <si>
    <r>
      <rPr>
        <sz val="10"/>
        <rFont val="華康粗圓體"/>
        <family val="3"/>
      </rPr>
      <t>救助人次</t>
    </r>
  </si>
  <si>
    <r>
      <rPr>
        <sz val="10"/>
        <rFont val="華康粗圓體"/>
        <family val="3"/>
      </rPr>
      <t>救助金額</t>
    </r>
  </si>
  <si>
    <r>
      <rPr>
        <sz val="10"/>
        <rFont val="華康粗圓體"/>
        <family val="3"/>
      </rPr>
      <t>負家庭主要生計責任且無
法工作致生活陷於困境者</t>
    </r>
  </si>
  <si>
    <r>
      <rPr>
        <sz val="10"/>
        <rFont val="華康粗圓體"/>
        <family val="3"/>
      </rPr>
      <t>其他遭遇重大變故者</t>
    </r>
  </si>
  <si>
    <r>
      <rPr>
        <sz val="10"/>
        <rFont val="華康粗圓體"/>
        <family val="3"/>
      </rPr>
      <t>川資突然發生困難者</t>
    </r>
  </si>
  <si>
    <r>
      <rPr>
        <sz val="10"/>
        <rFont val="華康粗圓體"/>
        <family val="3"/>
      </rPr>
      <t>無遺屬與遺產葬埋者</t>
    </r>
  </si>
  <si>
    <r>
      <rPr>
        <sz val="10"/>
        <rFont val="華康粗圓體"/>
        <family val="3"/>
      </rPr>
      <t>救助人次</t>
    </r>
  </si>
  <si>
    <r>
      <rPr>
        <sz val="10"/>
        <rFont val="華康粗圓體"/>
        <family val="3"/>
      </rPr>
      <t>救助金額</t>
    </r>
  </si>
  <si>
    <r>
      <rPr>
        <sz val="10"/>
        <color indexed="8"/>
        <rFont val="華康粗圓體"/>
        <family val="3"/>
      </rPr>
      <t>民國</t>
    </r>
    <r>
      <rPr>
        <sz val="10"/>
        <color indexed="8"/>
        <rFont val="Arial Narrow"/>
        <family val="2"/>
      </rPr>
      <t>98</t>
    </r>
    <r>
      <rPr>
        <sz val="10"/>
        <color indexed="8"/>
        <rFont val="華康粗圓體"/>
        <family val="3"/>
      </rPr>
      <t xml:space="preserve">年
</t>
    </r>
    <r>
      <rPr>
        <sz val="10"/>
        <color indexed="8"/>
        <rFont val="Arial Narrow"/>
        <family val="2"/>
      </rPr>
      <t>2009</t>
    </r>
  </si>
  <si>
    <r>
      <rPr>
        <sz val="10"/>
        <color indexed="8"/>
        <rFont val="華康粗圓體"/>
        <family val="3"/>
      </rPr>
      <t>民國</t>
    </r>
    <r>
      <rPr>
        <sz val="10"/>
        <color indexed="8"/>
        <rFont val="Arial Narrow"/>
        <family val="2"/>
      </rPr>
      <t>99</t>
    </r>
    <r>
      <rPr>
        <sz val="10"/>
        <color indexed="8"/>
        <rFont val="華康粗圓體"/>
        <family val="3"/>
      </rPr>
      <t xml:space="preserve">年
</t>
    </r>
    <r>
      <rPr>
        <sz val="10"/>
        <color indexed="8"/>
        <rFont val="Arial Narrow"/>
        <family val="2"/>
      </rPr>
      <t>2010</t>
    </r>
  </si>
  <si>
    <r>
      <rPr>
        <sz val="10"/>
        <rFont val="華康粗圓體"/>
        <family val="3"/>
      </rPr>
      <t>門診
人次</t>
    </r>
  </si>
  <si>
    <r>
      <rPr>
        <sz val="10"/>
        <rFont val="華康粗圓體"/>
        <family val="3"/>
      </rPr>
      <t>補助金額</t>
    </r>
  </si>
  <si>
    <r>
      <rPr>
        <sz val="10"/>
        <rFont val="華康粗圓體"/>
        <family val="3"/>
      </rPr>
      <t>低收
入戶</t>
    </r>
  </si>
  <si>
    <r>
      <rPr>
        <sz val="10"/>
        <rFont val="華康粗圓體"/>
        <family val="3"/>
      </rPr>
      <t>中低收入老人生活津貼　</t>
    </r>
    <r>
      <rPr>
        <sz val="10"/>
        <rFont val="Arial Narrow"/>
        <family val="2"/>
      </rPr>
      <t>Living Allowance for Mid or Low Income Elders</t>
    </r>
  </si>
  <si>
    <r>
      <rPr>
        <sz val="10"/>
        <rFont val="華康粗圓體"/>
        <family val="3"/>
      </rPr>
      <t>中低收入老人生活津貼與老農津貼
受益人數占</t>
    </r>
    <r>
      <rPr>
        <sz val="10"/>
        <rFont val="Arial Narrow"/>
        <family val="2"/>
      </rPr>
      <t>65</t>
    </r>
    <r>
      <rPr>
        <sz val="10"/>
        <rFont val="華康粗圓體"/>
        <family val="3"/>
      </rPr>
      <t xml:space="preserve">歲以上人口比率
</t>
    </r>
    <r>
      <rPr>
        <sz val="10"/>
        <rFont val="Arial Narrow"/>
        <family val="2"/>
      </rPr>
      <t>(%)</t>
    </r>
  </si>
  <si>
    <r>
      <rPr>
        <sz val="10"/>
        <rFont val="華康粗圓體"/>
        <family val="3"/>
      </rPr>
      <t>年</t>
    </r>
    <r>
      <rPr>
        <sz val="10"/>
        <rFont val="Arial Narrow"/>
        <family val="2"/>
      </rPr>
      <t xml:space="preserve">    </t>
    </r>
    <r>
      <rPr>
        <sz val="10"/>
        <rFont val="華康粗圓體"/>
        <family val="3"/>
      </rPr>
      <t>　　別</t>
    </r>
  </si>
  <si>
    <r>
      <rPr>
        <sz val="10"/>
        <rFont val="華康粗圓體"/>
        <family val="3"/>
      </rPr>
      <t>中低收入戶　</t>
    </r>
    <r>
      <rPr>
        <sz val="10"/>
        <rFont val="Arial Narrow"/>
        <family val="2"/>
      </rPr>
      <t>Mid or Low Income Elders</t>
    </r>
  </si>
  <si>
    <r>
      <rPr>
        <sz val="10"/>
        <rFont val="華康粗圓體"/>
        <family val="3"/>
      </rPr>
      <t>最低生活費</t>
    </r>
    <r>
      <rPr>
        <sz val="10"/>
        <rFont val="Arial Narrow"/>
        <family val="2"/>
      </rPr>
      <t>1</t>
    </r>
    <r>
      <rPr>
        <sz val="10"/>
        <rFont val="華康粗圓體"/>
        <family val="3"/>
      </rPr>
      <t>倍以上～未滿</t>
    </r>
    <r>
      <rPr>
        <sz val="10"/>
        <rFont val="Arial Narrow"/>
        <family val="2"/>
      </rPr>
      <t>1.5</t>
    </r>
    <r>
      <rPr>
        <sz val="10"/>
        <rFont val="華康粗圓體"/>
        <family val="3"/>
      </rPr>
      <t>倍者</t>
    </r>
  </si>
  <si>
    <r>
      <rPr>
        <sz val="10"/>
        <rFont val="華康粗圓體"/>
        <family val="3"/>
      </rPr>
      <t>最低生活費</t>
    </r>
    <r>
      <rPr>
        <sz val="10"/>
        <rFont val="Arial Narrow"/>
        <family val="2"/>
      </rPr>
      <t>1.5</t>
    </r>
    <r>
      <rPr>
        <sz val="10"/>
        <rFont val="華康粗圓體"/>
        <family val="3"/>
      </rPr>
      <t>倍以上～未滿</t>
    </r>
    <r>
      <rPr>
        <sz val="10"/>
        <rFont val="Arial Narrow"/>
        <family val="2"/>
      </rPr>
      <t>2.5</t>
    </r>
    <r>
      <rPr>
        <sz val="10"/>
        <rFont val="華康粗圓體"/>
        <family val="3"/>
      </rPr>
      <t>倍者</t>
    </r>
  </si>
  <si>
    <r>
      <rPr>
        <sz val="10"/>
        <rFont val="華康粗圓體"/>
        <family val="3"/>
      </rPr>
      <t>核付金額</t>
    </r>
  </si>
  <si>
    <r>
      <t>1 Times</t>
    </r>
    <r>
      <rPr>
        <sz val="10"/>
        <rFont val="華康粗圓體"/>
        <family val="3"/>
      </rPr>
      <t>～</t>
    </r>
    <r>
      <rPr>
        <sz val="10"/>
        <rFont val="Arial Narrow"/>
        <family val="2"/>
      </rPr>
      <t>1.5 Times Minimum of Subsistence</t>
    </r>
  </si>
  <si>
    <r>
      <t>1.5 Times</t>
    </r>
    <r>
      <rPr>
        <sz val="10"/>
        <rFont val="華康粗圓體"/>
        <family val="3"/>
      </rPr>
      <t>～</t>
    </r>
    <r>
      <rPr>
        <sz val="10"/>
        <rFont val="Arial Narrow"/>
        <family val="2"/>
      </rPr>
      <t>2.5 Times Minimum of Subsistence</t>
    </r>
  </si>
  <si>
    <r>
      <rPr>
        <sz val="10"/>
        <rFont val="華康粗圓體"/>
        <family val="3"/>
      </rPr>
      <t>人數</t>
    </r>
  </si>
  <si>
    <r>
      <rPr>
        <sz val="10"/>
        <rFont val="華康粗圓體"/>
        <family val="3"/>
      </rPr>
      <t>金額</t>
    </r>
  </si>
  <si>
    <r>
      <rPr>
        <sz val="10"/>
        <rFont val="華康粗圓體"/>
        <family val="3"/>
      </rPr>
      <t>計</t>
    </r>
  </si>
  <si>
    <r>
      <rPr>
        <sz val="10"/>
        <rFont val="華康粗圓體"/>
        <family val="3"/>
      </rPr>
      <t>男</t>
    </r>
  </si>
  <si>
    <r>
      <rPr>
        <sz val="10"/>
        <rFont val="華康粗圓體"/>
        <family val="3"/>
      </rPr>
      <t>女</t>
    </r>
  </si>
  <si>
    <r>
      <rPr>
        <sz val="10"/>
        <rFont val="華康粗圓體"/>
        <family val="3"/>
      </rPr>
      <t>年別</t>
    </r>
  </si>
  <si>
    <r>
      <rPr>
        <sz val="10"/>
        <rFont val="華康粗圓體"/>
        <family val="3"/>
      </rPr>
      <t>總計</t>
    </r>
    <r>
      <rPr>
        <sz val="10"/>
        <rFont val="Arial Narrow"/>
        <family val="2"/>
      </rPr>
      <t xml:space="preserve"> (</t>
    </r>
    <r>
      <rPr>
        <sz val="10"/>
        <rFont val="華康粗圓體"/>
        <family val="3"/>
      </rPr>
      <t>年底</t>
    </r>
    <r>
      <rPr>
        <sz val="10"/>
        <rFont val="Arial Narrow"/>
        <family val="2"/>
      </rPr>
      <t>)</t>
    </r>
  </si>
  <si>
    <r>
      <rPr>
        <sz val="10"/>
        <rFont val="華康粗圓體"/>
        <family val="3"/>
      </rPr>
      <t>教育補助</t>
    </r>
  </si>
  <si>
    <r>
      <rPr>
        <sz val="10"/>
        <rFont val="華康粗圓體"/>
        <family val="3"/>
      </rPr>
      <t>喪葬補助</t>
    </r>
  </si>
  <si>
    <r>
      <rPr>
        <sz val="10"/>
        <rFont val="華康粗圓體"/>
        <family val="3"/>
      </rPr>
      <t>輔導就業服務</t>
    </r>
  </si>
  <si>
    <r>
      <rPr>
        <sz val="10"/>
        <rFont val="華康粗圓體"/>
        <family val="3"/>
      </rPr>
      <t>戶數</t>
    </r>
  </si>
  <si>
    <r>
      <rPr>
        <sz val="10"/>
        <rFont val="華康粗圓體"/>
        <family val="3"/>
      </rPr>
      <t>就業服務</t>
    </r>
  </si>
  <si>
    <r>
      <rPr>
        <sz val="10"/>
        <rFont val="華康粗圓體"/>
        <family val="3"/>
      </rPr>
      <t>職業訓練</t>
    </r>
  </si>
  <si>
    <r>
      <rPr>
        <sz val="10"/>
        <rFont val="華康粗圓體"/>
        <family val="3"/>
      </rPr>
      <t>以工代賑</t>
    </r>
  </si>
  <si>
    <r>
      <rPr>
        <sz val="10"/>
        <rFont val="華康粗圓體"/>
        <family val="3"/>
      </rPr>
      <t>人次</t>
    </r>
  </si>
  <si>
    <r>
      <rPr>
        <sz val="10"/>
        <rFont val="華康粗圓體"/>
        <family val="3"/>
      </rPr>
      <t>金額</t>
    </r>
  </si>
  <si>
    <r>
      <rPr>
        <sz val="10"/>
        <rFont val="華康粗圓體"/>
        <family val="3"/>
      </rPr>
      <t>人數</t>
    </r>
  </si>
  <si>
    <r>
      <rPr>
        <sz val="10"/>
        <rFont val="華康粗圓體"/>
        <family val="3"/>
      </rPr>
      <t>戶數</t>
    </r>
  </si>
  <si>
    <r>
      <rPr>
        <sz val="10"/>
        <rFont val="華康粗圓體"/>
        <family val="3"/>
      </rPr>
      <t>戶次</t>
    </r>
  </si>
  <si>
    <r>
      <rPr>
        <sz val="10"/>
        <rFont val="華康粗圓體"/>
        <family val="3"/>
      </rPr>
      <t>第一款</t>
    </r>
  </si>
  <si>
    <r>
      <rPr>
        <sz val="10"/>
        <rFont val="華康粗圓體"/>
        <family val="3"/>
      </rPr>
      <t>第三款</t>
    </r>
  </si>
  <si>
    <r>
      <rPr>
        <sz val="10"/>
        <rFont val="華康粗圓體"/>
        <family val="3"/>
      </rPr>
      <t>就學生活補助</t>
    </r>
  </si>
  <si>
    <r>
      <rPr>
        <sz val="10"/>
        <rFont val="華康粗圓體"/>
        <family val="3"/>
      </rPr>
      <t>第</t>
    </r>
    <r>
      <rPr>
        <sz val="10"/>
        <rFont val="Arial Narrow"/>
        <family val="2"/>
      </rPr>
      <t>1</t>
    </r>
    <r>
      <rPr>
        <sz val="10"/>
        <rFont val="華康粗圓體"/>
        <family val="3"/>
      </rPr>
      <t>款</t>
    </r>
    <r>
      <rPr>
        <sz val="10"/>
        <rFont val="Arial Narrow"/>
        <family val="2"/>
      </rPr>
      <t>(</t>
    </r>
    <r>
      <rPr>
        <sz val="10"/>
        <rFont val="華康粗圓體"/>
        <family val="3"/>
      </rPr>
      <t>省、新北、臺中、臺南</t>
    </r>
    <r>
      <rPr>
        <sz val="10"/>
        <rFont val="Arial Narrow"/>
        <family val="2"/>
      </rPr>
      <t>)</t>
    </r>
    <r>
      <rPr>
        <sz val="10"/>
        <rFont val="華康粗圓體"/>
        <family val="3"/>
      </rPr>
      <t>、第</t>
    </r>
    <r>
      <rPr>
        <sz val="10"/>
        <rFont val="Arial Narrow"/>
        <family val="2"/>
      </rPr>
      <t>0,1</t>
    </r>
    <r>
      <rPr>
        <sz val="10"/>
        <rFont val="華康粗圓體"/>
        <family val="3"/>
      </rPr>
      <t>類</t>
    </r>
    <r>
      <rPr>
        <sz val="10"/>
        <rFont val="Arial Narrow"/>
        <family val="2"/>
      </rPr>
      <t>(</t>
    </r>
    <r>
      <rPr>
        <sz val="10"/>
        <rFont val="華康粗圓體"/>
        <family val="3"/>
      </rPr>
      <t>臺北</t>
    </r>
    <r>
      <rPr>
        <sz val="10"/>
        <rFont val="Arial Narrow"/>
        <family val="2"/>
      </rPr>
      <t>)</t>
    </r>
    <r>
      <rPr>
        <sz val="10"/>
        <rFont val="華康粗圓體"/>
        <family val="3"/>
      </rPr>
      <t>、第</t>
    </r>
    <r>
      <rPr>
        <sz val="10"/>
        <rFont val="Arial Narrow"/>
        <family val="2"/>
      </rPr>
      <t>1</t>
    </r>
    <r>
      <rPr>
        <sz val="10"/>
        <rFont val="華康粗圓體"/>
        <family val="3"/>
      </rPr>
      <t>類</t>
    </r>
    <r>
      <rPr>
        <sz val="10"/>
        <rFont val="Arial Narrow"/>
        <family val="2"/>
      </rPr>
      <t>(</t>
    </r>
    <r>
      <rPr>
        <sz val="10"/>
        <rFont val="華康粗圓體"/>
        <family val="3"/>
      </rPr>
      <t>高雄</t>
    </r>
    <r>
      <rPr>
        <sz val="10"/>
        <rFont val="Arial Narrow"/>
        <family val="2"/>
      </rPr>
      <t>) Class 1</t>
    </r>
  </si>
  <si>
    <r>
      <rPr>
        <sz val="10"/>
        <rFont val="華康粗圓體"/>
        <family val="3"/>
      </rPr>
      <t>第</t>
    </r>
    <r>
      <rPr>
        <sz val="10"/>
        <rFont val="Arial Narrow"/>
        <family val="2"/>
      </rPr>
      <t>2</t>
    </r>
    <r>
      <rPr>
        <sz val="10"/>
        <rFont val="華康粗圓體"/>
        <family val="3"/>
      </rPr>
      <t>款</t>
    </r>
    <r>
      <rPr>
        <sz val="10"/>
        <rFont val="Arial Narrow"/>
        <family val="2"/>
      </rPr>
      <t>(</t>
    </r>
    <r>
      <rPr>
        <sz val="10"/>
        <rFont val="華康粗圓體"/>
        <family val="3"/>
      </rPr>
      <t>省、新北、臺中、臺南</t>
    </r>
    <r>
      <rPr>
        <sz val="10"/>
        <rFont val="Arial Narrow"/>
        <family val="2"/>
      </rPr>
      <t>)</t>
    </r>
    <r>
      <rPr>
        <sz val="10"/>
        <rFont val="華康粗圓體"/>
        <family val="3"/>
      </rPr>
      <t>、第</t>
    </r>
    <r>
      <rPr>
        <sz val="10"/>
        <rFont val="Arial Narrow"/>
        <family val="2"/>
      </rPr>
      <t>2</t>
    </r>
    <r>
      <rPr>
        <sz val="10"/>
        <rFont val="華康粗圓體"/>
        <family val="3"/>
      </rPr>
      <t>類</t>
    </r>
    <r>
      <rPr>
        <sz val="10"/>
        <rFont val="Arial Narrow"/>
        <family val="2"/>
      </rPr>
      <t>(</t>
    </r>
    <r>
      <rPr>
        <sz val="10"/>
        <rFont val="華康粗圓體"/>
        <family val="3"/>
      </rPr>
      <t>臺北</t>
    </r>
    <r>
      <rPr>
        <sz val="10"/>
        <rFont val="Arial Narrow"/>
        <family val="2"/>
      </rPr>
      <t>)</t>
    </r>
    <r>
      <rPr>
        <sz val="10"/>
        <rFont val="華康粗圓體"/>
        <family val="3"/>
      </rPr>
      <t>、第</t>
    </r>
    <r>
      <rPr>
        <sz val="10"/>
        <rFont val="Arial Narrow"/>
        <family val="2"/>
      </rPr>
      <t>2</t>
    </r>
    <r>
      <rPr>
        <sz val="10"/>
        <rFont val="華康粗圓體"/>
        <family val="3"/>
      </rPr>
      <t>類</t>
    </r>
    <r>
      <rPr>
        <sz val="10"/>
        <rFont val="Arial Narrow"/>
        <family val="2"/>
      </rPr>
      <t>(</t>
    </r>
    <r>
      <rPr>
        <sz val="10"/>
        <rFont val="華康粗圓體"/>
        <family val="3"/>
      </rPr>
      <t>高雄</t>
    </r>
    <r>
      <rPr>
        <sz val="10"/>
        <rFont val="Arial Narrow"/>
        <family val="2"/>
      </rPr>
      <t>) Class 2</t>
    </r>
  </si>
  <si>
    <r>
      <rPr>
        <sz val="10"/>
        <rFont val="華康粗圓體"/>
        <family val="3"/>
      </rPr>
      <t>第二、三款、類</t>
    </r>
    <r>
      <rPr>
        <sz val="10"/>
        <rFont val="Arial Narrow"/>
        <family val="2"/>
      </rPr>
      <t>(</t>
    </r>
    <r>
      <rPr>
        <sz val="10"/>
        <rFont val="華康粗圓體"/>
        <family val="3"/>
      </rPr>
      <t>北市、高雄</t>
    </r>
    <r>
      <rPr>
        <sz val="10"/>
        <rFont val="Arial Narrow"/>
        <family val="2"/>
      </rPr>
      <t>2,3,4</t>
    </r>
    <r>
      <rPr>
        <sz val="10"/>
        <rFont val="華康粗圓體"/>
        <family val="3"/>
      </rPr>
      <t>類</t>
    </r>
    <r>
      <rPr>
        <sz val="10"/>
        <rFont val="Arial Narrow"/>
        <family val="2"/>
      </rPr>
      <t>)</t>
    </r>
    <r>
      <rPr>
        <sz val="10"/>
        <rFont val="華康粗圓體"/>
        <family val="3"/>
      </rPr>
      <t>兒童生活扶助</t>
    </r>
    <r>
      <rPr>
        <sz val="10"/>
        <rFont val="Arial Narrow"/>
        <family val="2"/>
      </rPr>
      <t>(</t>
    </r>
    <r>
      <rPr>
        <sz val="10"/>
        <rFont val="華康粗圓體"/>
        <family val="3"/>
      </rPr>
      <t>按人</t>
    </r>
    <r>
      <rPr>
        <sz val="10"/>
        <rFont val="Arial Narrow"/>
        <family val="2"/>
      </rPr>
      <t>)  Class 2,3</t>
    </r>
  </si>
  <si>
    <r>
      <rPr>
        <sz val="10"/>
        <rFont val="華康粗圓體"/>
        <family val="3"/>
      </rPr>
      <t>占全市總戶數比率</t>
    </r>
    <r>
      <rPr>
        <sz val="10"/>
        <rFont val="Arial Narrow"/>
        <family val="2"/>
      </rPr>
      <t xml:space="preserve"> (%)</t>
    </r>
  </si>
  <si>
    <r>
      <rPr>
        <sz val="10"/>
        <rFont val="華康粗圓體"/>
        <family val="3"/>
      </rPr>
      <t>占全市總人口比率</t>
    </r>
    <r>
      <rPr>
        <sz val="10"/>
        <rFont val="Arial Narrow"/>
        <family val="2"/>
      </rPr>
      <t xml:space="preserve"> (%)</t>
    </r>
  </si>
  <si>
    <r>
      <rPr>
        <sz val="10"/>
        <rFont val="華康粗圓體"/>
        <family val="3"/>
      </rPr>
      <t>人次</t>
    </r>
    <r>
      <rPr>
        <sz val="10"/>
        <rFont val="Arial Narrow"/>
        <family val="2"/>
      </rPr>
      <t>(</t>
    </r>
    <r>
      <rPr>
        <sz val="10"/>
        <rFont val="華康粗圓體"/>
        <family val="3"/>
      </rPr>
      <t>月</t>
    </r>
    <r>
      <rPr>
        <sz val="10"/>
        <rFont val="Arial Narrow"/>
        <family val="2"/>
      </rPr>
      <t>)</t>
    </r>
  </si>
  <si>
    <r>
      <rPr>
        <sz val="10"/>
        <rFont val="華康粗圓體"/>
        <family val="3"/>
      </rPr>
      <t>金額</t>
    </r>
    <r>
      <rPr>
        <sz val="10"/>
        <rFont val="Arial Narrow"/>
        <family val="2"/>
      </rPr>
      <t>(</t>
    </r>
    <r>
      <rPr>
        <sz val="10"/>
        <rFont val="華康粗圓體"/>
        <family val="3"/>
      </rPr>
      <t>元</t>
    </r>
    <r>
      <rPr>
        <sz val="10"/>
        <rFont val="Arial Narrow"/>
        <family val="2"/>
      </rPr>
      <t>)</t>
    </r>
  </si>
  <si>
    <r>
      <rPr>
        <sz val="10"/>
        <rFont val="華康粗圓體"/>
        <family val="3"/>
      </rPr>
      <t>戶次</t>
    </r>
    <r>
      <rPr>
        <sz val="10"/>
        <rFont val="Arial Narrow"/>
        <family val="2"/>
      </rPr>
      <t>(</t>
    </r>
    <r>
      <rPr>
        <sz val="10"/>
        <rFont val="華康粗圓體"/>
        <family val="3"/>
      </rPr>
      <t>月</t>
    </r>
    <r>
      <rPr>
        <sz val="10"/>
        <rFont val="Arial Narrow"/>
        <family val="2"/>
      </rPr>
      <t>)</t>
    </r>
  </si>
  <si>
    <r>
      <rPr>
        <sz val="10"/>
        <rFont val="華康粗圓體"/>
        <family val="3"/>
      </rPr>
      <t>身心障礙福利機構</t>
    </r>
    <r>
      <rPr>
        <sz val="10"/>
        <rFont val="Arial Narrow"/>
        <family val="2"/>
      </rPr>
      <t xml:space="preserve"> (</t>
    </r>
    <r>
      <rPr>
        <sz val="10"/>
        <rFont val="華康粗圓體"/>
        <family val="3"/>
      </rPr>
      <t>年底</t>
    </r>
    <r>
      <rPr>
        <sz val="10"/>
        <rFont val="Arial Narrow"/>
        <family val="2"/>
      </rPr>
      <t>)</t>
    </r>
  </si>
  <si>
    <r>
      <rPr>
        <sz val="10"/>
        <rFont val="華康粗圓體"/>
        <family val="3"/>
      </rPr>
      <t>輔助器具補助</t>
    </r>
  </si>
  <si>
    <r>
      <rPr>
        <sz val="10"/>
        <rFont val="華康粗圓體"/>
        <family val="3"/>
      </rPr>
      <t>實際安置人數</t>
    </r>
  </si>
  <si>
    <r>
      <rPr>
        <sz val="10"/>
        <rFont val="華康粗圓體"/>
        <family val="3"/>
      </rPr>
      <t>民國</t>
    </r>
    <r>
      <rPr>
        <sz val="10"/>
        <rFont val="Arial Narrow"/>
        <family val="2"/>
      </rPr>
      <t>97</t>
    </r>
    <r>
      <rPr>
        <sz val="10"/>
        <rFont val="華康粗圓體"/>
        <family val="3"/>
      </rPr>
      <t>年</t>
    </r>
    <r>
      <rPr>
        <sz val="10"/>
        <rFont val="Arial Narrow"/>
        <family val="2"/>
      </rPr>
      <t xml:space="preserve">  2008</t>
    </r>
  </si>
  <si>
    <r>
      <rPr>
        <sz val="10"/>
        <rFont val="華康粗圓體"/>
        <family val="3"/>
      </rPr>
      <t>民國</t>
    </r>
    <r>
      <rPr>
        <sz val="10"/>
        <rFont val="Arial Narrow"/>
        <family val="2"/>
      </rPr>
      <t>98</t>
    </r>
    <r>
      <rPr>
        <sz val="10"/>
        <rFont val="華康粗圓體"/>
        <family val="3"/>
      </rPr>
      <t>年</t>
    </r>
    <r>
      <rPr>
        <sz val="10"/>
        <rFont val="Arial Narrow"/>
        <family val="2"/>
      </rPr>
      <t xml:space="preserve">  2009</t>
    </r>
  </si>
  <si>
    <r>
      <rPr>
        <sz val="10"/>
        <rFont val="華康粗圓體"/>
        <family val="3"/>
      </rPr>
      <t>民國</t>
    </r>
    <r>
      <rPr>
        <sz val="10"/>
        <rFont val="Arial Narrow"/>
        <family val="2"/>
      </rPr>
      <t>99</t>
    </r>
    <r>
      <rPr>
        <sz val="10"/>
        <rFont val="華康粗圓體"/>
        <family val="3"/>
      </rPr>
      <t>年</t>
    </r>
    <r>
      <rPr>
        <sz val="10"/>
        <rFont val="Arial Narrow"/>
        <family val="2"/>
      </rPr>
      <t xml:space="preserve">  2010</t>
    </r>
  </si>
  <si>
    <r>
      <rPr>
        <sz val="10"/>
        <rFont val="華康粗圓體"/>
        <family val="3"/>
      </rPr>
      <t>民國</t>
    </r>
    <r>
      <rPr>
        <sz val="10"/>
        <rFont val="Arial Narrow"/>
        <family val="2"/>
      </rPr>
      <t>100</t>
    </r>
    <r>
      <rPr>
        <sz val="10"/>
        <rFont val="華康粗圓體"/>
        <family val="3"/>
      </rPr>
      <t>年</t>
    </r>
    <r>
      <rPr>
        <sz val="10"/>
        <rFont val="Arial Narrow"/>
        <family val="2"/>
      </rPr>
      <t xml:space="preserve">  2011</t>
    </r>
  </si>
  <si>
    <r>
      <rPr>
        <sz val="10"/>
        <rFont val="華康粗圓體"/>
        <family val="3"/>
      </rPr>
      <t>民國</t>
    </r>
    <r>
      <rPr>
        <sz val="10"/>
        <rFont val="Arial Narrow"/>
        <family val="2"/>
      </rPr>
      <t>101</t>
    </r>
    <r>
      <rPr>
        <sz val="10"/>
        <rFont val="華康粗圓體"/>
        <family val="3"/>
      </rPr>
      <t>年</t>
    </r>
    <r>
      <rPr>
        <sz val="10"/>
        <rFont val="Arial Narrow"/>
        <family val="2"/>
      </rPr>
      <t xml:space="preserve">  2012</t>
    </r>
  </si>
  <si>
    <r>
      <rPr>
        <sz val="10"/>
        <rFont val="華康粗圓體"/>
        <family val="3"/>
      </rPr>
      <t>民國</t>
    </r>
    <r>
      <rPr>
        <sz val="10"/>
        <rFont val="Arial Narrow"/>
        <family val="2"/>
      </rPr>
      <t>102</t>
    </r>
    <r>
      <rPr>
        <sz val="10"/>
        <rFont val="華康粗圓體"/>
        <family val="3"/>
      </rPr>
      <t>年</t>
    </r>
    <r>
      <rPr>
        <sz val="10"/>
        <rFont val="Arial Narrow"/>
        <family val="2"/>
      </rPr>
      <t xml:space="preserve">  2013</t>
    </r>
  </si>
  <si>
    <r>
      <rPr>
        <sz val="10"/>
        <rFont val="華康粗圓體"/>
        <family val="3"/>
      </rPr>
      <t>民國</t>
    </r>
    <r>
      <rPr>
        <sz val="10"/>
        <rFont val="Arial Narrow"/>
        <family val="2"/>
      </rPr>
      <t>103</t>
    </r>
    <r>
      <rPr>
        <sz val="10"/>
        <rFont val="華康粗圓體"/>
        <family val="3"/>
      </rPr>
      <t>年</t>
    </r>
    <r>
      <rPr>
        <sz val="10"/>
        <rFont val="Arial Narrow"/>
        <family val="2"/>
      </rPr>
      <t xml:space="preserve">  2014</t>
    </r>
  </si>
  <si>
    <r>
      <rPr>
        <sz val="10"/>
        <rFont val="華康粗圓體"/>
        <family val="3"/>
      </rPr>
      <t>民國</t>
    </r>
    <r>
      <rPr>
        <sz val="10"/>
        <rFont val="Arial Narrow"/>
        <family val="2"/>
      </rPr>
      <t>104</t>
    </r>
    <r>
      <rPr>
        <sz val="10"/>
        <rFont val="華康粗圓體"/>
        <family val="3"/>
      </rPr>
      <t>年</t>
    </r>
    <r>
      <rPr>
        <sz val="10"/>
        <rFont val="Arial Narrow"/>
        <family val="2"/>
      </rPr>
      <t xml:space="preserve">  2015</t>
    </r>
  </si>
  <si>
    <r>
      <rPr>
        <sz val="10"/>
        <rFont val="華康粗圓體"/>
        <family val="3"/>
      </rPr>
      <t>年底及
區別</t>
    </r>
  </si>
  <si>
    <r>
      <rPr>
        <sz val="10"/>
        <rFont val="華康粗圓體"/>
        <family val="3"/>
      </rPr>
      <t>領有新制身心障礙證明者</t>
    </r>
  </si>
  <si>
    <r>
      <rPr>
        <sz val="10"/>
        <rFont val="華康粗圓體"/>
        <family val="3"/>
      </rPr>
      <t xml:space="preserve">身心障礙
人數占
總人口比率
</t>
    </r>
    <r>
      <rPr>
        <sz val="10"/>
        <rFont val="Arial Narrow"/>
        <family val="2"/>
      </rPr>
      <t>(%)</t>
    </r>
  </si>
  <si>
    <r>
      <rPr>
        <sz val="10"/>
        <rFont val="華康粗圓體"/>
        <family val="3"/>
      </rPr>
      <t>神經系統構造及精神、心智功能</t>
    </r>
  </si>
  <si>
    <r>
      <rPr>
        <sz val="10"/>
        <rFont val="華康粗圓體"/>
        <family val="3"/>
      </rPr>
      <t>眼、耳及相關構造與感官功能及疼痛</t>
    </r>
  </si>
  <si>
    <r>
      <rPr>
        <sz val="10"/>
        <rFont val="華康粗圓體"/>
        <family val="3"/>
      </rPr>
      <t>涉及聲音及
言語構造及
其功能</t>
    </r>
  </si>
  <si>
    <r>
      <rPr>
        <sz val="10"/>
        <rFont val="華康粗圓體"/>
        <family val="3"/>
      </rPr>
      <t>神經、肌肉、骨骼之移動相關構造及其功能</t>
    </r>
  </si>
  <si>
    <r>
      <rPr>
        <sz val="10"/>
        <rFont val="華康粗圓體"/>
        <family val="3"/>
      </rPr>
      <t>皮膚與相關
構造及其功能</t>
    </r>
  </si>
  <si>
    <r>
      <rPr>
        <sz val="10"/>
        <rFont val="華康粗圓體"/>
        <family val="3"/>
      </rPr>
      <t>跨兩類別
以上者</t>
    </r>
  </si>
  <si>
    <r>
      <rPr>
        <sz val="10"/>
        <rFont val="華康粗圓體"/>
        <family val="3"/>
      </rPr>
      <t>舊制轉換新制
暫無法歸類者</t>
    </r>
  </si>
  <si>
    <r>
      <rPr>
        <sz val="10"/>
        <rFont val="華康粗圓體"/>
        <family val="3"/>
      </rPr>
      <t>男</t>
    </r>
  </si>
  <si>
    <r>
      <rPr>
        <sz val="10"/>
        <rFont val="華康粗圓體"/>
        <family val="3"/>
      </rPr>
      <t>女</t>
    </r>
  </si>
  <si>
    <r>
      <rPr>
        <sz val="10"/>
        <rFont val="華康粗圓體"/>
        <family val="3"/>
      </rPr>
      <t>民國</t>
    </r>
    <r>
      <rPr>
        <sz val="10"/>
        <rFont val="Arial Narrow"/>
        <family val="2"/>
      </rPr>
      <t>97</t>
    </r>
    <r>
      <rPr>
        <sz val="10"/>
        <rFont val="華康粗圓體"/>
        <family val="3"/>
      </rPr>
      <t>年底</t>
    </r>
    <r>
      <rPr>
        <sz val="10"/>
        <rFont val="Arial Narrow"/>
        <family val="2"/>
      </rPr>
      <t xml:space="preserve"> End of 2008</t>
    </r>
  </si>
  <si>
    <r>
      <rPr>
        <sz val="10"/>
        <rFont val="華康粗圓體"/>
        <family val="3"/>
      </rPr>
      <t>民國</t>
    </r>
    <r>
      <rPr>
        <sz val="10"/>
        <rFont val="Arial Narrow"/>
        <family val="2"/>
      </rPr>
      <t>99</t>
    </r>
    <r>
      <rPr>
        <sz val="10"/>
        <rFont val="華康粗圓體"/>
        <family val="3"/>
      </rPr>
      <t>年底</t>
    </r>
    <r>
      <rPr>
        <sz val="10"/>
        <rFont val="Arial Narrow"/>
        <family val="2"/>
      </rPr>
      <t xml:space="preserve"> End of 2010</t>
    </r>
  </si>
  <si>
    <r>
      <rPr>
        <sz val="10"/>
        <rFont val="華康粗圓體"/>
        <family val="3"/>
      </rPr>
      <t>民國</t>
    </r>
    <r>
      <rPr>
        <sz val="10"/>
        <rFont val="Arial Narrow"/>
        <family val="2"/>
      </rPr>
      <t>100</t>
    </r>
    <r>
      <rPr>
        <sz val="10"/>
        <rFont val="華康粗圓體"/>
        <family val="3"/>
      </rPr>
      <t>年底</t>
    </r>
    <r>
      <rPr>
        <sz val="10"/>
        <rFont val="Arial Narrow"/>
        <family val="2"/>
      </rPr>
      <t xml:space="preserve"> End of 2011</t>
    </r>
  </si>
  <si>
    <r>
      <rPr>
        <sz val="10"/>
        <rFont val="華康粗圓體"/>
        <family val="3"/>
      </rPr>
      <t>民國</t>
    </r>
    <r>
      <rPr>
        <sz val="10"/>
        <rFont val="Arial Narrow"/>
        <family val="2"/>
      </rPr>
      <t>101</t>
    </r>
    <r>
      <rPr>
        <sz val="10"/>
        <rFont val="華康粗圓體"/>
        <family val="3"/>
      </rPr>
      <t>年底</t>
    </r>
    <r>
      <rPr>
        <sz val="10"/>
        <rFont val="Arial Narrow"/>
        <family val="2"/>
      </rPr>
      <t xml:space="preserve"> End of 2012</t>
    </r>
  </si>
  <si>
    <r>
      <rPr>
        <sz val="10"/>
        <rFont val="華康粗圓體"/>
        <family val="3"/>
      </rPr>
      <t>民國</t>
    </r>
    <r>
      <rPr>
        <sz val="10"/>
        <rFont val="Arial Narrow"/>
        <family val="2"/>
      </rPr>
      <t>102</t>
    </r>
    <r>
      <rPr>
        <sz val="10"/>
        <rFont val="華康粗圓體"/>
        <family val="3"/>
      </rPr>
      <t>年底</t>
    </r>
    <r>
      <rPr>
        <sz val="10"/>
        <rFont val="Arial Narrow"/>
        <family val="2"/>
      </rPr>
      <t xml:space="preserve"> End of 2013</t>
    </r>
  </si>
  <si>
    <r>
      <rPr>
        <sz val="10"/>
        <rFont val="華康粗圓體"/>
        <family val="3"/>
      </rPr>
      <t>民國</t>
    </r>
    <r>
      <rPr>
        <sz val="10"/>
        <rFont val="Arial Narrow"/>
        <family val="2"/>
      </rPr>
      <t>103</t>
    </r>
    <r>
      <rPr>
        <sz val="10"/>
        <rFont val="華康粗圓體"/>
        <family val="3"/>
      </rPr>
      <t>年底</t>
    </r>
    <r>
      <rPr>
        <sz val="10"/>
        <rFont val="Arial Narrow"/>
        <family val="2"/>
      </rPr>
      <t xml:space="preserve"> End of 2014</t>
    </r>
  </si>
  <si>
    <r>
      <rPr>
        <sz val="10"/>
        <rFont val="華康粗圓體"/>
        <family val="3"/>
      </rPr>
      <t>民國</t>
    </r>
    <r>
      <rPr>
        <sz val="10"/>
        <rFont val="Arial Narrow"/>
        <family val="2"/>
      </rPr>
      <t>104</t>
    </r>
    <r>
      <rPr>
        <sz val="10"/>
        <rFont val="華康粗圓體"/>
        <family val="3"/>
      </rPr>
      <t>年底</t>
    </r>
    <r>
      <rPr>
        <sz val="10"/>
        <rFont val="Arial Narrow"/>
        <family val="2"/>
      </rPr>
      <t xml:space="preserve"> End of 2015</t>
    </r>
  </si>
  <si>
    <r>
      <rPr>
        <sz val="10"/>
        <rFont val="華康粗圓體"/>
        <family val="3"/>
      </rPr>
      <t>　桃園區</t>
    </r>
    <r>
      <rPr>
        <sz val="10"/>
        <rFont val="Arial Narrow"/>
        <family val="2"/>
      </rPr>
      <t xml:space="preserve"> Taoyuan District</t>
    </r>
  </si>
  <si>
    <r>
      <rPr>
        <sz val="10"/>
        <rFont val="華康粗圓體"/>
        <family val="3"/>
      </rPr>
      <t>　中壢區</t>
    </r>
    <r>
      <rPr>
        <sz val="10"/>
        <rFont val="Arial Narrow"/>
        <family val="2"/>
      </rPr>
      <t xml:space="preserve"> Zhongli District</t>
    </r>
  </si>
  <si>
    <r>
      <rPr>
        <sz val="10"/>
        <rFont val="華康粗圓體"/>
        <family val="3"/>
      </rPr>
      <t>　大溪區</t>
    </r>
    <r>
      <rPr>
        <sz val="10"/>
        <rFont val="Arial Narrow"/>
        <family val="2"/>
      </rPr>
      <t xml:space="preserve"> Daxi District</t>
    </r>
  </si>
  <si>
    <r>
      <rPr>
        <sz val="10"/>
        <rFont val="華康粗圓體"/>
        <family val="3"/>
      </rPr>
      <t>　楊梅區</t>
    </r>
    <r>
      <rPr>
        <sz val="10"/>
        <rFont val="Arial Narrow"/>
        <family val="2"/>
      </rPr>
      <t xml:space="preserve"> Yangmei District</t>
    </r>
  </si>
  <si>
    <r>
      <rPr>
        <sz val="10"/>
        <rFont val="華康粗圓體"/>
        <family val="3"/>
      </rPr>
      <t>　蘆竹區</t>
    </r>
    <r>
      <rPr>
        <sz val="10"/>
        <rFont val="Arial Narrow"/>
        <family val="2"/>
      </rPr>
      <t xml:space="preserve"> Luzhu District</t>
    </r>
  </si>
  <si>
    <r>
      <rPr>
        <sz val="10"/>
        <rFont val="華康粗圓體"/>
        <family val="3"/>
      </rPr>
      <t>　大園區</t>
    </r>
    <r>
      <rPr>
        <sz val="10"/>
        <rFont val="Arial Narrow"/>
        <family val="2"/>
      </rPr>
      <t xml:space="preserve"> Dayuan District</t>
    </r>
  </si>
  <si>
    <r>
      <rPr>
        <sz val="10"/>
        <rFont val="華康粗圓體"/>
        <family val="3"/>
      </rPr>
      <t>　龜山區</t>
    </r>
    <r>
      <rPr>
        <sz val="10"/>
        <rFont val="Arial Narrow"/>
        <family val="2"/>
      </rPr>
      <t xml:space="preserve"> Guishan District</t>
    </r>
  </si>
  <si>
    <r>
      <rPr>
        <sz val="10"/>
        <rFont val="華康粗圓體"/>
        <family val="3"/>
      </rPr>
      <t>　八德區</t>
    </r>
    <r>
      <rPr>
        <sz val="10"/>
        <rFont val="Arial Narrow"/>
        <family val="2"/>
      </rPr>
      <t xml:space="preserve"> Bade District</t>
    </r>
  </si>
  <si>
    <r>
      <rPr>
        <sz val="10"/>
        <rFont val="華康粗圓體"/>
        <family val="3"/>
      </rPr>
      <t>　龍潭區</t>
    </r>
    <r>
      <rPr>
        <sz val="10"/>
        <rFont val="Arial Narrow"/>
        <family val="2"/>
      </rPr>
      <t xml:space="preserve"> Longtan District</t>
    </r>
  </si>
  <si>
    <r>
      <rPr>
        <sz val="10"/>
        <rFont val="華康粗圓體"/>
        <family val="3"/>
      </rPr>
      <t>　平鎮區</t>
    </r>
    <r>
      <rPr>
        <sz val="10"/>
        <rFont val="Arial Narrow"/>
        <family val="2"/>
      </rPr>
      <t xml:space="preserve"> Pingzhen District</t>
    </r>
  </si>
  <si>
    <r>
      <rPr>
        <sz val="10"/>
        <rFont val="華康粗圓體"/>
        <family val="3"/>
      </rPr>
      <t>　新屋區</t>
    </r>
    <r>
      <rPr>
        <sz val="10"/>
        <rFont val="Arial Narrow"/>
        <family val="2"/>
      </rPr>
      <t xml:space="preserve"> Xinwu District</t>
    </r>
  </si>
  <si>
    <r>
      <rPr>
        <sz val="10"/>
        <rFont val="華康粗圓體"/>
        <family val="3"/>
      </rPr>
      <t>　觀音區</t>
    </r>
    <r>
      <rPr>
        <sz val="10"/>
        <rFont val="Arial Narrow"/>
        <family val="2"/>
      </rPr>
      <t xml:space="preserve"> Guanyin District</t>
    </r>
  </si>
  <si>
    <r>
      <rPr>
        <sz val="10"/>
        <rFont val="華康粗圓體"/>
        <family val="3"/>
      </rPr>
      <t>　復興區</t>
    </r>
    <r>
      <rPr>
        <sz val="10"/>
        <rFont val="Arial Narrow"/>
        <family val="2"/>
      </rPr>
      <t xml:space="preserve"> Fuxing District</t>
    </r>
  </si>
  <si>
    <r>
      <rPr>
        <sz val="10"/>
        <rFont val="華康粗圓體"/>
        <family val="3"/>
      </rPr>
      <t>領有舊制身心障礙手冊者</t>
    </r>
  </si>
  <si>
    <r>
      <rPr>
        <sz val="10"/>
        <rFont val="華康粗圓體"/>
        <family val="3"/>
      </rPr>
      <t>顏面損傷者</t>
    </r>
  </si>
  <si>
    <r>
      <rPr>
        <sz val="10"/>
        <rFont val="華康粗圓體"/>
        <family val="3"/>
      </rPr>
      <t>植物人</t>
    </r>
  </si>
  <si>
    <r>
      <rPr>
        <sz val="10"/>
        <rFont val="華康粗圓體"/>
        <family val="3"/>
      </rPr>
      <t>失智症者</t>
    </r>
  </si>
  <si>
    <r>
      <rPr>
        <sz val="10"/>
        <rFont val="華康粗圓體"/>
        <family val="3"/>
      </rPr>
      <t>自閉症者</t>
    </r>
  </si>
  <si>
    <r>
      <rPr>
        <sz val="10"/>
        <rFont val="華康粗圓體"/>
        <family val="3"/>
      </rPr>
      <t>慢性精神病患者</t>
    </r>
  </si>
  <si>
    <r>
      <rPr>
        <sz val="10"/>
        <rFont val="華康粗圓體"/>
        <family val="3"/>
      </rPr>
      <t>多重障礙者</t>
    </r>
  </si>
  <si>
    <r>
      <rPr>
        <sz val="10"/>
        <rFont val="華康粗圓體"/>
        <family val="3"/>
      </rPr>
      <t>頑性（難治型）
癲癇症者</t>
    </r>
  </si>
  <si>
    <r>
      <rPr>
        <sz val="10"/>
        <rFont val="華康粗圓體"/>
        <family val="3"/>
      </rPr>
      <t>因罕見疾病而致
身心功能障礙者</t>
    </r>
  </si>
  <si>
    <r>
      <rPr>
        <sz val="10"/>
        <rFont val="華康粗圓體"/>
        <family val="3"/>
      </rPr>
      <t>總計</t>
    </r>
  </si>
  <si>
    <r>
      <rPr>
        <sz val="10"/>
        <rFont val="華康粗圓體"/>
        <family val="3"/>
      </rPr>
      <t>領有舊制身心障礙手冊者</t>
    </r>
  </si>
  <si>
    <r>
      <rPr>
        <sz val="10"/>
        <rFont val="華康粗圓體"/>
        <family val="3"/>
      </rPr>
      <t>合計</t>
    </r>
  </si>
  <si>
    <r>
      <rPr>
        <sz val="10"/>
        <rFont val="華康粗圓體"/>
        <family val="3"/>
      </rPr>
      <t>視覺
障礙者</t>
    </r>
  </si>
  <si>
    <r>
      <rPr>
        <sz val="10"/>
        <rFont val="華康粗圓體"/>
        <family val="3"/>
      </rPr>
      <t>聽覺機能
障礙者</t>
    </r>
  </si>
  <si>
    <r>
      <rPr>
        <sz val="10"/>
        <rFont val="華康粗圓體"/>
        <family val="3"/>
      </rPr>
      <t>平衡機能
障礙者</t>
    </r>
  </si>
  <si>
    <r>
      <rPr>
        <sz val="10"/>
        <rFont val="華康粗圓體"/>
        <family val="3"/>
      </rPr>
      <t>聲音機能或語
言機能障礙者</t>
    </r>
  </si>
  <si>
    <r>
      <rPr>
        <sz val="10"/>
        <rFont val="華康粗圓體"/>
        <family val="3"/>
      </rPr>
      <t>肢體
障礙者</t>
    </r>
  </si>
  <si>
    <r>
      <rPr>
        <sz val="10"/>
        <rFont val="華康粗圓體"/>
        <family val="3"/>
      </rPr>
      <t>智能
障礙者</t>
    </r>
  </si>
  <si>
    <r>
      <rPr>
        <sz val="10"/>
        <rFont val="華康粗圓體"/>
        <family val="3"/>
      </rPr>
      <t>重要器官
失去功能者</t>
    </r>
  </si>
  <si>
    <r>
      <rPr>
        <sz val="10"/>
        <rFont val="華康粗圓體"/>
        <family val="3"/>
      </rPr>
      <t>民國</t>
    </r>
    <r>
      <rPr>
        <sz val="10"/>
        <rFont val="Arial Narrow"/>
        <family val="2"/>
      </rPr>
      <t xml:space="preserve">97 </t>
    </r>
    <r>
      <rPr>
        <sz val="10"/>
        <rFont val="華康粗圓體"/>
        <family val="3"/>
      </rPr>
      <t>年度</t>
    </r>
    <r>
      <rPr>
        <sz val="10"/>
        <rFont val="Arial Narrow"/>
        <family val="2"/>
      </rPr>
      <t xml:space="preserve"> 2008</t>
    </r>
  </si>
  <si>
    <r>
      <rPr>
        <sz val="10"/>
        <rFont val="華康粗圓體"/>
        <family val="3"/>
      </rPr>
      <t>民國</t>
    </r>
    <r>
      <rPr>
        <sz val="10"/>
        <rFont val="Arial Narrow"/>
        <family val="2"/>
      </rPr>
      <t xml:space="preserve">98 </t>
    </r>
    <r>
      <rPr>
        <sz val="10"/>
        <rFont val="華康粗圓體"/>
        <family val="3"/>
      </rPr>
      <t>年度</t>
    </r>
    <r>
      <rPr>
        <sz val="10"/>
        <rFont val="Arial Narrow"/>
        <family val="2"/>
      </rPr>
      <t xml:space="preserve"> 2009</t>
    </r>
  </si>
  <si>
    <r>
      <rPr>
        <sz val="10"/>
        <rFont val="華康粗圓體"/>
        <family val="3"/>
      </rPr>
      <t>民國</t>
    </r>
    <r>
      <rPr>
        <sz val="10"/>
        <rFont val="Arial Narrow"/>
        <family val="2"/>
      </rPr>
      <t xml:space="preserve">99 </t>
    </r>
    <r>
      <rPr>
        <sz val="10"/>
        <rFont val="華康粗圓體"/>
        <family val="3"/>
      </rPr>
      <t>年度</t>
    </r>
    <r>
      <rPr>
        <sz val="10"/>
        <rFont val="Arial Narrow"/>
        <family val="2"/>
      </rPr>
      <t xml:space="preserve"> 2010</t>
    </r>
  </si>
  <si>
    <r>
      <rPr>
        <sz val="10"/>
        <rFont val="華康粗圓體"/>
        <family val="3"/>
      </rPr>
      <t>民國</t>
    </r>
    <r>
      <rPr>
        <sz val="10"/>
        <rFont val="Arial Narrow"/>
        <family val="2"/>
      </rPr>
      <t>100</t>
    </r>
    <r>
      <rPr>
        <sz val="10"/>
        <rFont val="華康粗圓體"/>
        <family val="3"/>
      </rPr>
      <t>年度</t>
    </r>
    <r>
      <rPr>
        <sz val="10"/>
        <rFont val="Arial Narrow"/>
        <family val="2"/>
      </rPr>
      <t xml:space="preserve"> 2011</t>
    </r>
  </si>
  <si>
    <r>
      <rPr>
        <sz val="10"/>
        <rFont val="華康粗圓體"/>
        <family val="3"/>
      </rPr>
      <t>民國</t>
    </r>
    <r>
      <rPr>
        <sz val="10"/>
        <rFont val="Arial Narrow"/>
        <family val="2"/>
      </rPr>
      <t>101</t>
    </r>
    <r>
      <rPr>
        <sz val="10"/>
        <rFont val="華康粗圓體"/>
        <family val="3"/>
      </rPr>
      <t>年度</t>
    </r>
    <r>
      <rPr>
        <sz val="10"/>
        <rFont val="Arial Narrow"/>
        <family val="2"/>
      </rPr>
      <t xml:space="preserve"> 2012</t>
    </r>
  </si>
  <si>
    <r>
      <rPr>
        <sz val="10"/>
        <rFont val="華康粗圓體"/>
        <family val="3"/>
      </rPr>
      <t>民國</t>
    </r>
    <r>
      <rPr>
        <sz val="10"/>
        <rFont val="Arial Narrow"/>
        <family val="2"/>
      </rPr>
      <t>102</t>
    </r>
    <r>
      <rPr>
        <sz val="10"/>
        <rFont val="華康粗圓體"/>
        <family val="3"/>
      </rPr>
      <t>年度</t>
    </r>
    <r>
      <rPr>
        <sz val="10"/>
        <rFont val="Arial Narrow"/>
        <family val="2"/>
      </rPr>
      <t xml:space="preserve"> 2013</t>
    </r>
  </si>
  <si>
    <r>
      <rPr>
        <sz val="10"/>
        <rFont val="華康粗圓體"/>
        <family val="3"/>
      </rPr>
      <t>民國</t>
    </r>
    <r>
      <rPr>
        <sz val="10"/>
        <rFont val="Arial Narrow"/>
        <family val="2"/>
      </rPr>
      <t>103</t>
    </r>
    <r>
      <rPr>
        <sz val="10"/>
        <rFont val="華康粗圓體"/>
        <family val="3"/>
      </rPr>
      <t>年度</t>
    </r>
    <r>
      <rPr>
        <sz val="10"/>
        <rFont val="Arial Narrow"/>
        <family val="2"/>
      </rPr>
      <t xml:space="preserve"> 2014</t>
    </r>
  </si>
  <si>
    <r>
      <rPr>
        <sz val="10"/>
        <rFont val="華康粗圓體"/>
        <family val="3"/>
      </rPr>
      <t>民國</t>
    </r>
    <r>
      <rPr>
        <sz val="10"/>
        <rFont val="Arial Narrow"/>
        <family val="2"/>
      </rPr>
      <t xml:space="preserve">104 </t>
    </r>
    <r>
      <rPr>
        <sz val="10"/>
        <rFont val="華康粗圓體"/>
        <family val="3"/>
      </rPr>
      <t>年度</t>
    </r>
    <r>
      <rPr>
        <sz val="10"/>
        <rFont val="Arial Narrow"/>
        <family val="2"/>
      </rPr>
      <t xml:space="preserve"> 2015</t>
    </r>
  </si>
  <si>
    <r>
      <rPr>
        <sz val="10"/>
        <rFont val="華康粗圓體"/>
        <family val="3"/>
      </rPr>
      <t>年底及類別</t>
    </r>
  </si>
  <si>
    <r>
      <rPr>
        <sz val="10"/>
        <rFont val="華康粗圓體"/>
        <family val="3"/>
      </rPr>
      <t>總計　</t>
    </r>
    <r>
      <rPr>
        <sz val="10"/>
        <rFont val="Arial Narrow"/>
        <family val="2"/>
      </rPr>
      <t>Grand Total</t>
    </r>
  </si>
  <si>
    <r>
      <rPr>
        <sz val="10"/>
        <rFont val="華康粗圓體"/>
        <family val="3"/>
      </rPr>
      <t>單位社　</t>
    </r>
    <r>
      <rPr>
        <sz val="10"/>
        <rFont val="Arial Narrow"/>
        <family val="2"/>
      </rPr>
      <t>Unit of Cooperatives</t>
    </r>
  </si>
  <si>
    <r>
      <rPr>
        <sz val="10"/>
        <rFont val="華康粗圓體"/>
        <family val="3"/>
      </rPr>
      <t>聯合社　</t>
    </r>
    <r>
      <rPr>
        <sz val="10"/>
        <rFont val="Arial Narrow"/>
        <family val="2"/>
      </rPr>
      <t>Combines of Cooperatives</t>
    </r>
  </si>
  <si>
    <r>
      <rPr>
        <sz val="10"/>
        <rFont val="華康粗圓體"/>
        <family val="3"/>
      </rPr>
      <t xml:space="preserve">社數
</t>
    </r>
    <r>
      <rPr>
        <sz val="10"/>
        <rFont val="Arial Narrow"/>
        <family val="2"/>
      </rPr>
      <t>(</t>
    </r>
    <r>
      <rPr>
        <sz val="10"/>
        <rFont val="華康粗圓體"/>
        <family val="3"/>
      </rPr>
      <t>個</t>
    </r>
    <r>
      <rPr>
        <sz val="10"/>
        <rFont val="Arial Narrow"/>
        <family val="2"/>
      </rPr>
      <t>)
No. of
Cooperatives
(Units)</t>
    </r>
  </si>
  <si>
    <r>
      <rPr>
        <sz val="10"/>
        <rFont val="華康粗圓體"/>
        <family val="3"/>
      </rPr>
      <t>社場員數</t>
    </r>
    <r>
      <rPr>
        <sz val="10"/>
        <rFont val="Arial Narrow"/>
        <family val="2"/>
      </rPr>
      <t xml:space="preserve"> (</t>
    </r>
    <r>
      <rPr>
        <sz val="10"/>
        <rFont val="華康粗圓體"/>
        <family val="3"/>
      </rPr>
      <t>人</t>
    </r>
    <r>
      <rPr>
        <sz val="10"/>
        <rFont val="Arial Narrow"/>
        <family val="2"/>
      </rPr>
      <t>)</t>
    </r>
  </si>
  <si>
    <r>
      <rPr>
        <sz val="10"/>
        <rFont val="華康粗圓體"/>
        <family val="3"/>
      </rPr>
      <t xml:space="preserve">股金總額
</t>
    </r>
    <r>
      <rPr>
        <sz val="10"/>
        <rFont val="Arial Narrow"/>
        <family val="2"/>
      </rPr>
      <t>(</t>
    </r>
    <r>
      <rPr>
        <sz val="10"/>
        <rFont val="華康粗圓體"/>
        <family val="3"/>
      </rPr>
      <t>元</t>
    </r>
    <r>
      <rPr>
        <sz val="10"/>
        <rFont val="Arial Narrow"/>
        <family val="2"/>
      </rPr>
      <t>)
Capital
(NT$)</t>
    </r>
  </si>
  <si>
    <r>
      <rPr>
        <sz val="10"/>
        <rFont val="華康粗圓體"/>
        <family val="3"/>
      </rPr>
      <t xml:space="preserve">社數
</t>
    </r>
    <r>
      <rPr>
        <sz val="10"/>
        <rFont val="Arial Narrow"/>
        <family val="2"/>
      </rPr>
      <t>(</t>
    </r>
    <r>
      <rPr>
        <sz val="10"/>
        <rFont val="華康粗圓體"/>
        <family val="3"/>
      </rPr>
      <t>個</t>
    </r>
    <r>
      <rPr>
        <sz val="10"/>
        <rFont val="Arial Narrow"/>
        <family val="2"/>
      </rPr>
      <t>)
No. of Cooperatives
(Units)</t>
    </r>
  </si>
  <si>
    <r>
      <rPr>
        <sz val="10"/>
        <rFont val="華康粗圓體"/>
        <family val="3"/>
      </rPr>
      <t xml:space="preserve">法人社員
</t>
    </r>
    <r>
      <rPr>
        <sz val="10"/>
        <rFont val="Arial Narrow"/>
        <family val="2"/>
      </rPr>
      <t>(</t>
    </r>
    <r>
      <rPr>
        <sz val="10"/>
        <rFont val="華康粗圓體"/>
        <family val="3"/>
      </rPr>
      <t>人</t>
    </r>
    <r>
      <rPr>
        <sz val="10"/>
        <rFont val="Arial Narrow"/>
        <family val="2"/>
      </rPr>
      <t>)
Members in Law
(Persons)</t>
    </r>
  </si>
  <si>
    <r>
      <rPr>
        <sz val="10"/>
        <rFont val="華康粗圓體"/>
        <family val="3"/>
      </rPr>
      <t>個人社員</t>
    </r>
  </si>
  <si>
    <r>
      <rPr>
        <sz val="10"/>
        <rFont val="華康粗圓體"/>
        <family val="3"/>
      </rPr>
      <t>法人社員</t>
    </r>
  </si>
  <si>
    <r>
      <rPr>
        <sz val="10"/>
        <rFont val="華康粗圓體"/>
        <family val="3"/>
      </rPr>
      <t>民國</t>
    </r>
    <r>
      <rPr>
        <sz val="10"/>
        <rFont val="Arial Narrow"/>
        <family val="2"/>
      </rPr>
      <t>97</t>
    </r>
    <r>
      <rPr>
        <sz val="10"/>
        <rFont val="華康粗圓體"/>
        <family val="3"/>
      </rPr>
      <t>年底</t>
    </r>
  </si>
  <si>
    <r>
      <rPr>
        <sz val="10"/>
        <rFont val="華康粗圓體"/>
        <family val="3"/>
      </rPr>
      <t>民國</t>
    </r>
    <r>
      <rPr>
        <sz val="10"/>
        <rFont val="Arial Narrow"/>
        <family val="2"/>
      </rPr>
      <t>98</t>
    </r>
    <r>
      <rPr>
        <sz val="10"/>
        <rFont val="華康粗圓體"/>
        <family val="3"/>
      </rPr>
      <t>年底</t>
    </r>
  </si>
  <si>
    <r>
      <rPr>
        <sz val="10"/>
        <rFont val="華康粗圓體"/>
        <family val="3"/>
      </rPr>
      <t>民國</t>
    </r>
    <r>
      <rPr>
        <sz val="10"/>
        <rFont val="Arial Narrow"/>
        <family val="2"/>
      </rPr>
      <t>99</t>
    </r>
    <r>
      <rPr>
        <sz val="10"/>
        <rFont val="華康粗圓體"/>
        <family val="3"/>
      </rPr>
      <t>年底</t>
    </r>
  </si>
  <si>
    <r>
      <rPr>
        <sz val="10"/>
        <rFont val="華康粗圓體"/>
        <family val="3"/>
      </rPr>
      <t>民國</t>
    </r>
    <r>
      <rPr>
        <sz val="10"/>
        <rFont val="Arial Narrow"/>
        <family val="2"/>
      </rPr>
      <t>100</t>
    </r>
    <r>
      <rPr>
        <sz val="10"/>
        <rFont val="華康粗圓體"/>
        <family val="3"/>
      </rPr>
      <t>年底</t>
    </r>
  </si>
  <si>
    <r>
      <rPr>
        <sz val="10"/>
        <rFont val="華康粗圓體"/>
        <family val="3"/>
      </rPr>
      <t>民國</t>
    </r>
    <r>
      <rPr>
        <sz val="10"/>
        <rFont val="Arial Narrow"/>
        <family val="2"/>
      </rPr>
      <t>101</t>
    </r>
    <r>
      <rPr>
        <sz val="10"/>
        <rFont val="華康粗圓體"/>
        <family val="3"/>
      </rPr>
      <t>年底</t>
    </r>
  </si>
  <si>
    <r>
      <rPr>
        <sz val="10"/>
        <rFont val="華康粗圓體"/>
        <family val="3"/>
      </rPr>
      <t>民國</t>
    </r>
    <r>
      <rPr>
        <sz val="10"/>
        <rFont val="Arial Narrow"/>
        <family val="2"/>
      </rPr>
      <t>102</t>
    </r>
    <r>
      <rPr>
        <sz val="10"/>
        <rFont val="華康粗圓體"/>
        <family val="3"/>
      </rPr>
      <t>年底</t>
    </r>
  </si>
  <si>
    <r>
      <rPr>
        <sz val="10"/>
        <rFont val="華康粗圓體"/>
        <family val="3"/>
      </rPr>
      <t>民國</t>
    </r>
    <r>
      <rPr>
        <sz val="10"/>
        <rFont val="Arial Narrow"/>
        <family val="2"/>
      </rPr>
      <t>103</t>
    </r>
    <r>
      <rPr>
        <sz val="10"/>
        <rFont val="華康粗圓體"/>
        <family val="3"/>
      </rPr>
      <t>年底</t>
    </r>
  </si>
  <si>
    <r>
      <rPr>
        <sz val="10"/>
        <rFont val="華康粗圓體"/>
        <family val="3"/>
      </rPr>
      <t>民國</t>
    </r>
    <r>
      <rPr>
        <sz val="10"/>
        <rFont val="Arial Narrow"/>
        <family val="2"/>
      </rPr>
      <t>104</t>
    </r>
    <r>
      <rPr>
        <sz val="10"/>
        <rFont val="華康粗圓體"/>
        <family val="3"/>
      </rPr>
      <t>年底</t>
    </r>
  </si>
  <si>
    <r>
      <rPr>
        <sz val="10"/>
        <rFont val="華康粗圓體"/>
        <family val="3"/>
      </rPr>
      <t>甲、專營合作社</t>
    </r>
  </si>
  <si>
    <r>
      <rPr>
        <sz val="10"/>
        <rFont val="華康粗圓體"/>
        <family val="3"/>
      </rPr>
      <t>一、農業合作社</t>
    </r>
  </si>
  <si>
    <r>
      <rPr>
        <sz val="10"/>
        <rFont val="華康粗圓體"/>
        <family val="3"/>
      </rPr>
      <t>農業生產</t>
    </r>
  </si>
  <si>
    <r>
      <rPr>
        <sz val="10"/>
        <rFont val="華康粗圓體"/>
        <family val="3"/>
      </rPr>
      <t>農業運銷</t>
    </r>
  </si>
  <si>
    <r>
      <rPr>
        <sz val="10"/>
        <rFont val="華康粗圓體"/>
        <family val="3"/>
      </rPr>
      <t>農業勞動</t>
    </r>
  </si>
  <si>
    <r>
      <rPr>
        <sz val="10"/>
        <rFont val="華康粗圓體"/>
        <family val="3"/>
      </rPr>
      <t>二、工業合作社</t>
    </r>
  </si>
  <si>
    <r>
      <rPr>
        <sz val="10"/>
        <rFont val="華康粗圓體"/>
        <family val="3"/>
      </rPr>
      <t>工業生產</t>
    </r>
  </si>
  <si>
    <r>
      <rPr>
        <sz val="10"/>
        <rFont val="華康粗圓體"/>
        <family val="3"/>
      </rPr>
      <t>工業運銷</t>
    </r>
  </si>
  <si>
    <r>
      <rPr>
        <sz val="10"/>
        <rFont val="華康粗圓體"/>
        <family val="3"/>
      </rPr>
      <t>工業供給</t>
    </r>
  </si>
  <si>
    <r>
      <rPr>
        <sz val="10"/>
        <rFont val="華康粗圓體"/>
        <family val="3"/>
      </rPr>
      <t>工業利用</t>
    </r>
  </si>
  <si>
    <r>
      <rPr>
        <sz val="10"/>
        <rFont val="華康粗圓體"/>
        <family val="3"/>
      </rPr>
      <t>工業勞動</t>
    </r>
  </si>
  <si>
    <r>
      <rPr>
        <sz val="10"/>
        <rFont val="華康粗圓體"/>
        <family val="3"/>
      </rPr>
      <t>工業運輸</t>
    </r>
  </si>
  <si>
    <r>
      <rPr>
        <sz val="10"/>
        <rFont val="華康粗圓體"/>
        <family val="3"/>
      </rPr>
      <t>原住民勞動</t>
    </r>
  </si>
  <si>
    <r>
      <rPr>
        <sz val="10"/>
        <rFont val="華康粗圓體"/>
        <family val="3"/>
      </rPr>
      <t>三、消費合作社</t>
    </r>
  </si>
  <si>
    <r>
      <rPr>
        <sz val="10"/>
        <rFont val="華康粗圓體"/>
        <family val="3"/>
      </rPr>
      <t>地　　區</t>
    </r>
  </si>
  <si>
    <r>
      <rPr>
        <sz val="10"/>
        <rFont val="華康粗圓體"/>
        <family val="3"/>
      </rPr>
      <t>勞　　工</t>
    </r>
  </si>
  <si>
    <r>
      <rPr>
        <sz val="10"/>
        <rFont val="華康粗圓體"/>
        <family val="3"/>
      </rPr>
      <t>人民團體</t>
    </r>
  </si>
  <si>
    <r>
      <rPr>
        <sz val="10"/>
        <rFont val="華康粗圓體"/>
        <family val="3"/>
      </rPr>
      <t>機　　關</t>
    </r>
  </si>
  <si>
    <r>
      <rPr>
        <sz val="10"/>
        <rFont val="華康粗圓體"/>
        <family val="3"/>
      </rPr>
      <t>學　　校</t>
    </r>
  </si>
  <si>
    <r>
      <rPr>
        <sz val="10"/>
        <rFont val="華康粗圓體"/>
        <family val="3"/>
      </rPr>
      <t>四、公用</t>
    </r>
  </si>
  <si>
    <r>
      <rPr>
        <sz val="10"/>
        <rFont val="華康粗圓體"/>
        <family val="3"/>
      </rPr>
      <t>五、保險</t>
    </r>
  </si>
  <si>
    <r>
      <rPr>
        <sz val="10"/>
        <rFont val="華康粗圓體"/>
        <family val="3"/>
      </rPr>
      <t>乙、兼營合作社</t>
    </r>
  </si>
  <si>
    <r>
      <rPr>
        <sz val="10"/>
        <rFont val="華康粗圓體"/>
        <family val="3"/>
      </rPr>
      <t>一、區域性</t>
    </r>
  </si>
  <si>
    <r>
      <rPr>
        <sz val="10"/>
        <rFont val="華康粗圓體"/>
        <family val="3"/>
      </rPr>
      <t>二、社區</t>
    </r>
  </si>
  <si>
    <r>
      <rPr>
        <sz val="10"/>
        <rFont val="華康粗圓體"/>
        <family val="3"/>
      </rPr>
      <t>三、合作農場</t>
    </r>
  </si>
  <si>
    <r>
      <rPr>
        <sz val="10"/>
        <rFont val="華康粗圓體"/>
        <family val="3"/>
      </rPr>
      <t>文教機構</t>
    </r>
  </si>
  <si>
    <r>
      <rPr>
        <sz val="10"/>
        <rFont val="華康粗圓體"/>
        <family val="3"/>
      </rPr>
      <t>公益慈善事業</t>
    </r>
  </si>
  <si>
    <r>
      <rPr>
        <sz val="10"/>
        <rFont val="華康粗圓體"/>
        <family val="3"/>
      </rPr>
      <t>大學</t>
    </r>
  </si>
  <si>
    <r>
      <rPr>
        <sz val="10"/>
        <rFont val="華康粗圓體"/>
        <family val="3"/>
      </rPr>
      <t>專科學校</t>
    </r>
  </si>
  <si>
    <r>
      <rPr>
        <sz val="10"/>
        <rFont val="華康粗圓體"/>
        <family val="3"/>
      </rPr>
      <t>職校</t>
    </r>
  </si>
  <si>
    <r>
      <rPr>
        <sz val="10"/>
        <rFont val="華康粗圓體"/>
        <family val="3"/>
      </rPr>
      <t>中學</t>
    </r>
  </si>
  <si>
    <r>
      <rPr>
        <sz val="10"/>
        <rFont val="華康粗圓體"/>
        <family val="3"/>
      </rPr>
      <t>小學</t>
    </r>
  </si>
  <si>
    <r>
      <rPr>
        <sz val="10"/>
        <rFont val="華康粗圓體"/>
        <family val="3"/>
      </rPr>
      <t>幼兒園</t>
    </r>
  </si>
  <si>
    <r>
      <rPr>
        <sz val="10"/>
        <rFont val="華康粗圓體"/>
        <family val="3"/>
      </rPr>
      <t>養老院</t>
    </r>
  </si>
  <si>
    <r>
      <rPr>
        <sz val="10"/>
        <rFont val="華康粗圓體"/>
        <family val="3"/>
      </rPr>
      <t>民國</t>
    </r>
    <r>
      <rPr>
        <sz val="10"/>
        <rFont val="Arial Narrow"/>
        <family val="2"/>
      </rPr>
      <t>97</t>
    </r>
    <r>
      <rPr>
        <sz val="10"/>
        <rFont val="華康粗圓體"/>
        <family val="3"/>
      </rPr>
      <t>年底</t>
    </r>
  </si>
  <si>
    <r>
      <rPr>
        <sz val="10"/>
        <rFont val="華康粗圓體"/>
        <family val="3"/>
      </rPr>
      <t>民國</t>
    </r>
    <r>
      <rPr>
        <sz val="10"/>
        <rFont val="Arial Narrow"/>
        <family val="2"/>
      </rPr>
      <t>98</t>
    </r>
    <r>
      <rPr>
        <sz val="10"/>
        <rFont val="華康粗圓體"/>
        <family val="3"/>
      </rPr>
      <t>年底</t>
    </r>
  </si>
  <si>
    <r>
      <rPr>
        <sz val="10"/>
        <rFont val="華康粗圓體"/>
        <family val="3"/>
      </rPr>
      <t>民國</t>
    </r>
    <r>
      <rPr>
        <sz val="10"/>
        <rFont val="Arial Narrow"/>
        <family val="2"/>
      </rPr>
      <t>99</t>
    </r>
    <r>
      <rPr>
        <sz val="10"/>
        <rFont val="華康粗圓體"/>
        <family val="3"/>
      </rPr>
      <t>年底</t>
    </r>
  </si>
  <si>
    <r>
      <rPr>
        <sz val="10"/>
        <rFont val="華康粗圓體"/>
        <family val="3"/>
      </rPr>
      <t>民國</t>
    </r>
    <r>
      <rPr>
        <sz val="10"/>
        <rFont val="Arial Narrow"/>
        <family val="2"/>
      </rPr>
      <t>100</t>
    </r>
    <r>
      <rPr>
        <sz val="10"/>
        <rFont val="華康粗圓體"/>
        <family val="3"/>
      </rPr>
      <t>年底</t>
    </r>
  </si>
  <si>
    <r>
      <rPr>
        <sz val="10"/>
        <rFont val="華康粗圓體"/>
        <family val="3"/>
      </rPr>
      <t>民國</t>
    </r>
    <r>
      <rPr>
        <sz val="10"/>
        <rFont val="Arial Narrow"/>
        <family val="2"/>
      </rPr>
      <t>101</t>
    </r>
    <r>
      <rPr>
        <sz val="10"/>
        <rFont val="華康粗圓體"/>
        <family val="3"/>
      </rPr>
      <t>年底</t>
    </r>
  </si>
  <si>
    <r>
      <rPr>
        <sz val="10"/>
        <rFont val="華康粗圓體"/>
        <family val="3"/>
      </rPr>
      <t>民國</t>
    </r>
    <r>
      <rPr>
        <sz val="10"/>
        <rFont val="Arial Narrow"/>
        <family val="2"/>
      </rPr>
      <t>102</t>
    </r>
    <r>
      <rPr>
        <sz val="10"/>
        <rFont val="華康粗圓體"/>
        <family val="3"/>
      </rPr>
      <t>年底</t>
    </r>
  </si>
  <si>
    <r>
      <rPr>
        <sz val="10"/>
        <rFont val="華康粗圓體"/>
        <family val="3"/>
      </rPr>
      <t>民國</t>
    </r>
    <r>
      <rPr>
        <sz val="10"/>
        <rFont val="Arial Narrow"/>
        <family val="2"/>
      </rPr>
      <t>103</t>
    </r>
    <r>
      <rPr>
        <sz val="10"/>
        <rFont val="華康粗圓體"/>
        <family val="3"/>
      </rPr>
      <t>年底</t>
    </r>
  </si>
  <si>
    <r>
      <rPr>
        <sz val="10"/>
        <rFont val="華康粗圓體"/>
        <family val="3"/>
      </rPr>
      <t>醫院</t>
    </r>
  </si>
  <si>
    <r>
      <rPr>
        <sz val="10"/>
        <rFont val="華康粗圓體"/>
        <family val="3"/>
      </rPr>
      <t>診所</t>
    </r>
  </si>
  <si>
    <r>
      <rPr>
        <sz val="10"/>
        <rFont val="華康粗圓體"/>
        <family val="3"/>
      </rPr>
      <t>民國</t>
    </r>
    <r>
      <rPr>
        <sz val="10"/>
        <rFont val="Arial Narrow"/>
        <family val="2"/>
      </rPr>
      <t>98</t>
    </r>
    <r>
      <rPr>
        <sz val="10"/>
        <rFont val="華康粗圓體"/>
        <family val="3"/>
      </rPr>
      <t>年底</t>
    </r>
  </si>
  <si>
    <r>
      <rPr>
        <sz val="10"/>
        <rFont val="華康粗圓體"/>
        <family val="3"/>
      </rPr>
      <t>民國</t>
    </r>
    <r>
      <rPr>
        <sz val="10"/>
        <rFont val="Arial Narrow"/>
        <family val="2"/>
      </rPr>
      <t>100</t>
    </r>
    <r>
      <rPr>
        <sz val="10"/>
        <rFont val="華康粗圓體"/>
        <family val="3"/>
      </rPr>
      <t>年底</t>
    </r>
  </si>
  <si>
    <r>
      <rPr>
        <sz val="10"/>
        <rFont val="華康粗圓體"/>
        <family val="3"/>
      </rPr>
      <t>年底及宗教別</t>
    </r>
  </si>
  <si>
    <r>
      <rPr>
        <sz val="10"/>
        <rFont val="華康粗圓體"/>
        <family val="3"/>
      </rPr>
      <t>寺廟教堂數（所）</t>
    </r>
  </si>
  <si>
    <r>
      <rPr>
        <sz val="10"/>
        <rFont val="華康粗圓體"/>
        <family val="3"/>
      </rPr>
      <t>信徒人數（人）</t>
    </r>
  </si>
  <si>
    <r>
      <rPr>
        <sz val="10"/>
        <rFont val="華康粗圓體"/>
        <family val="3"/>
      </rPr>
      <t>民國</t>
    </r>
    <r>
      <rPr>
        <sz val="10"/>
        <rFont val="Arial Narrow"/>
        <family val="2"/>
      </rPr>
      <t>97</t>
    </r>
    <r>
      <rPr>
        <sz val="10"/>
        <rFont val="華康粗圓體"/>
        <family val="3"/>
      </rPr>
      <t>年底</t>
    </r>
  </si>
  <si>
    <r>
      <rPr>
        <sz val="10"/>
        <rFont val="華康粗圓體"/>
        <family val="3"/>
      </rPr>
      <t>民國</t>
    </r>
    <r>
      <rPr>
        <sz val="10"/>
        <rFont val="Arial Narrow"/>
        <family val="2"/>
      </rPr>
      <t>98</t>
    </r>
    <r>
      <rPr>
        <sz val="10"/>
        <rFont val="華康粗圓體"/>
        <family val="3"/>
      </rPr>
      <t>年底</t>
    </r>
  </si>
  <si>
    <r>
      <rPr>
        <sz val="10"/>
        <rFont val="華康粗圓體"/>
        <family val="3"/>
      </rPr>
      <t>民國</t>
    </r>
    <r>
      <rPr>
        <sz val="10"/>
        <rFont val="Arial Narrow"/>
        <family val="2"/>
      </rPr>
      <t>99</t>
    </r>
    <r>
      <rPr>
        <sz val="10"/>
        <rFont val="華康粗圓體"/>
        <family val="3"/>
      </rPr>
      <t>年底</t>
    </r>
  </si>
  <si>
    <r>
      <rPr>
        <sz val="10"/>
        <rFont val="華康粗圓體"/>
        <family val="3"/>
      </rPr>
      <t>民國</t>
    </r>
    <r>
      <rPr>
        <sz val="10"/>
        <rFont val="Arial Narrow"/>
        <family val="2"/>
      </rPr>
      <t>100</t>
    </r>
    <r>
      <rPr>
        <sz val="10"/>
        <rFont val="華康粗圓體"/>
        <family val="3"/>
      </rPr>
      <t>年底</t>
    </r>
  </si>
  <si>
    <r>
      <rPr>
        <sz val="10"/>
        <rFont val="華康粗圓體"/>
        <family val="3"/>
      </rPr>
      <t>民國</t>
    </r>
    <r>
      <rPr>
        <sz val="10"/>
        <rFont val="Arial Narrow"/>
        <family val="2"/>
      </rPr>
      <t>104</t>
    </r>
    <r>
      <rPr>
        <sz val="10"/>
        <rFont val="華康粗圓體"/>
        <family val="3"/>
      </rPr>
      <t>年底</t>
    </r>
  </si>
  <si>
    <r>
      <rPr>
        <b/>
        <sz val="10"/>
        <rFont val="華康粗圓體"/>
        <family val="3"/>
      </rPr>
      <t>　寺廟</t>
    </r>
    <r>
      <rPr>
        <b/>
        <sz val="10"/>
        <rFont val="Arial Narrow"/>
        <family val="2"/>
      </rPr>
      <t xml:space="preserve"> Temples</t>
    </r>
  </si>
  <si>
    <r>
      <rPr>
        <sz val="10"/>
        <rFont val="華康粗圓體"/>
        <family val="3"/>
      </rPr>
      <t>　　道　　教</t>
    </r>
  </si>
  <si>
    <r>
      <rPr>
        <sz val="10"/>
        <rFont val="華康粗圓體"/>
        <family val="3"/>
      </rPr>
      <t>　　佛　　教</t>
    </r>
  </si>
  <si>
    <r>
      <rPr>
        <sz val="10"/>
        <rFont val="華康粗圓體"/>
        <family val="3"/>
      </rPr>
      <t>　　一</t>
    </r>
    <r>
      <rPr>
        <sz val="10"/>
        <rFont val="Arial Narrow"/>
        <family val="2"/>
      </rPr>
      <t xml:space="preserve"> </t>
    </r>
    <r>
      <rPr>
        <sz val="10"/>
        <rFont val="華康粗圓體"/>
        <family val="3"/>
      </rPr>
      <t>貫</t>
    </r>
    <r>
      <rPr>
        <sz val="10"/>
        <rFont val="Arial Narrow"/>
        <family val="2"/>
      </rPr>
      <t xml:space="preserve"> </t>
    </r>
    <r>
      <rPr>
        <sz val="10"/>
        <rFont val="華康粗圓體"/>
        <family val="3"/>
      </rPr>
      <t>道</t>
    </r>
  </si>
  <si>
    <r>
      <rPr>
        <sz val="10"/>
        <rFont val="華康粗圓體"/>
        <family val="3"/>
      </rPr>
      <t>　　理　　教</t>
    </r>
  </si>
  <si>
    <r>
      <rPr>
        <sz val="10"/>
        <rFont val="華康粗圓體"/>
        <family val="3"/>
      </rPr>
      <t>　　其他寺廟</t>
    </r>
  </si>
  <si>
    <r>
      <rPr>
        <b/>
        <sz val="10"/>
        <rFont val="華康粗圓體"/>
        <family val="3"/>
      </rPr>
      <t>　教堂</t>
    </r>
    <r>
      <rPr>
        <b/>
        <sz val="10"/>
        <rFont val="Arial Narrow"/>
        <family val="2"/>
      </rPr>
      <t xml:space="preserve"> Churches</t>
    </r>
  </si>
  <si>
    <r>
      <rPr>
        <sz val="10"/>
        <rFont val="華康粗圓體"/>
        <family val="3"/>
      </rPr>
      <t>　　天</t>
    </r>
    <r>
      <rPr>
        <sz val="10"/>
        <rFont val="Arial Narrow"/>
        <family val="2"/>
      </rPr>
      <t xml:space="preserve"> </t>
    </r>
    <r>
      <rPr>
        <sz val="10"/>
        <rFont val="華康粗圓體"/>
        <family val="3"/>
      </rPr>
      <t>主</t>
    </r>
    <r>
      <rPr>
        <sz val="10"/>
        <rFont val="Arial Narrow"/>
        <family val="2"/>
      </rPr>
      <t xml:space="preserve"> </t>
    </r>
    <r>
      <rPr>
        <sz val="10"/>
        <rFont val="華康粗圓體"/>
        <family val="3"/>
      </rPr>
      <t>教</t>
    </r>
  </si>
  <si>
    <r>
      <rPr>
        <sz val="10"/>
        <rFont val="華康粗圓體"/>
        <family val="3"/>
      </rPr>
      <t>　　基</t>
    </r>
    <r>
      <rPr>
        <sz val="10"/>
        <rFont val="Arial Narrow"/>
        <family val="2"/>
      </rPr>
      <t xml:space="preserve"> </t>
    </r>
    <r>
      <rPr>
        <sz val="10"/>
        <rFont val="華康粗圓體"/>
        <family val="3"/>
      </rPr>
      <t>督</t>
    </r>
    <r>
      <rPr>
        <sz val="10"/>
        <rFont val="Arial Narrow"/>
        <family val="2"/>
      </rPr>
      <t xml:space="preserve"> </t>
    </r>
    <r>
      <rPr>
        <sz val="10"/>
        <rFont val="華康粗圓體"/>
        <family val="3"/>
      </rPr>
      <t>教</t>
    </r>
  </si>
  <si>
    <r>
      <rPr>
        <sz val="10"/>
        <rFont val="華康粗圓體"/>
        <family val="3"/>
      </rPr>
      <t>　　其他教堂</t>
    </r>
  </si>
  <si>
    <t>End of 2016</t>
  </si>
  <si>
    <r>
      <rPr>
        <sz val="10"/>
        <rFont val="華康粗圓體"/>
        <family val="3"/>
      </rPr>
      <t>民國</t>
    </r>
    <r>
      <rPr>
        <sz val="10"/>
        <rFont val="Arial Narrow"/>
        <family val="2"/>
      </rPr>
      <t>105</t>
    </r>
    <r>
      <rPr>
        <sz val="10"/>
        <rFont val="華康粗圓體"/>
        <family val="3"/>
      </rPr>
      <t xml:space="preserve">年底
</t>
    </r>
    <r>
      <rPr>
        <sz val="10"/>
        <rFont val="Arial Narrow"/>
        <family val="2"/>
      </rPr>
      <t>End of 2016</t>
    </r>
  </si>
  <si>
    <r>
      <rPr>
        <sz val="10"/>
        <rFont val="華康粗圓體"/>
        <family val="3"/>
      </rPr>
      <t>民國</t>
    </r>
    <r>
      <rPr>
        <sz val="10"/>
        <rFont val="Arial Narrow"/>
        <family val="2"/>
      </rPr>
      <t>105</t>
    </r>
    <r>
      <rPr>
        <sz val="10"/>
        <rFont val="華康粗圓體"/>
        <family val="3"/>
      </rPr>
      <t>年底</t>
    </r>
  </si>
  <si>
    <t>End of 2016</t>
  </si>
  <si>
    <t>…</t>
  </si>
  <si>
    <t>…</t>
  </si>
  <si>
    <r>
      <rPr>
        <sz val="10"/>
        <rFont val="華康粗圓體"/>
        <family val="3"/>
      </rPr>
      <t>民國</t>
    </r>
    <r>
      <rPr>
        <sz val="10"/>
        <rFont val="Arial Narrow"/>
        <family val="2"/>
      </rPr>
      <t>105</t>
    </r>
    <r>
      <rPr>
        <sz val="10"/>
        <rFont val="華康粗圓體"/>
        <family val="3"/>
      </rPr>
      <t>年底</t>
    </r>
  </si>
  <si>
    <t>End of 2016</t>
  </si>
  <si>
    <r>
      <rPr>
        <sz val="10"/>
        <rFont val="華康粗圓體"/>
        <family val="3"/>
      </rPr>
      <t>民國</t>
    </r>
    <r>
      <rPr>
        <sz val="10"/>
        <rFont val="Arial Narrow"/>
        <family val="2"/>
      </rPr>
      <t>104</t>
    </r>
    <r>
      <rPr>
        <sz val="10"/>
        <rFont val="華康粗圓體"/>
        <family val="3"/>
      </rPr>
      <t>年底</t>
    </r>
  </si>
  <si>
    <t>End of 2015</t>
  </si>
  <si>
    <t>End of 2016</t>
  </si>
  <si>
    <r>
      <rPr>
        <sz val="10"/>
        <rFont val="華康粗圓體"/>
        <family val="3"/>
      </rPr>
      <t>民國</t>
    </r>
    <r>
      <rPr>
        <sz val="10"/>
        <rFont val="Arial Narrow"/>
        <family val="2"/>
      </rPr>
      <t xml:space="preserve">105 </t>
    </r>
    <r>
      <rPr>
        <sz val="10"/>
        <rFont val="華康粗圓體"/>
        <family val="3"/>
      </rPr>
      <t>年度</t>
    </r>
    <r>
      <rPr>
        <sz val="10"/>
        <rFont val="Arial Narrow"/>
        <family val="2"/>
      </rPr>
      <t xml:space="preserve"> 2016</t>
    </r>
  </si>
  <si>
    <r>
      <t>(</t>
    </r>
    <r>
      <rPr>
        <sz val="9"/>
        <rFont val="華康粗圓體"/>
        <family val="3"/>
      </rPr>
      <t>人次</t>
    </r>
    <r>
      <rPr>
        <sz val="9"/>
        <rFont val="Arial Narrow"/>
        <family val="2"/>
      </rPr>
      <t>)</t>
    </r>
  </si>
  <si>
    <r>
      <t>(</t>
    </r>
    <r>
      <rPr>
        <sz val="9"/>
        <rFont val="華康粗圓體"/>
        <family val="3"/>
      </rPr>
      <t>處</t>
    </r>
    <r>
      <rPr>
        <sz val="9"/>
        <rFont val="Arial Narrow"/>
        <family val="2"/>
      </rPr>
      <t>)</t>
    </r>
  </si>
  <si>
    <r>
      <t>(</t>
    </r>
    <r>
      <rPr>
        <sz val="9"/>
        <rFont val="華康粗圓體"/>
        <family val="3"/>
      </rPr>
      <t>班</t>
    </r>
    <r>
      <rPr>
        <sz val="9"/>
        <rFont val="Arial Narrow"/>
        <family val="2"/>
      </rPr>
      <t>)</t>
    </r>
  </si>
  <si>
    <r>
      <rPr>
        <sz val="9"/>
        <rFont val="華康粗圓體"/>
        <family val="3"/>
      </rPr>
      <t>（隊）</t>
    </r>
  </si>
  <si>
    <r>
      <t>(</t>
    </r>
    <r>
      <rPr>
        <sz val="9"/>
        <rFont val="華康粗圓體"/>
        <family val="3"/>
      </rPr>
      <t>隊</t>
    </r>
    <r>
      <rPr>
        <sz val="9"/>
        <rFont val="Arial Narrow"/>
        <family val="2"/>
      </rPr>
      <t>)</t>
    </r>
  </si>
  <si>
    <r>
      <rPr>
        <sz val="9"/>
        <rFont val="華康粗圓體"/>
        <family val="3"/>
      </rPr>
      <t xml:space="preserve">團隊
</t>
    </r>
    <r>
      <rPr>
        <sz val="9"/>
        <rFont val="Arial Narrow"/>
        <family val="2"/>
      </rPr>
      <t>(</t>
    </r>
    <r>
      <rPr>
        <sz val="9"/>
        <rFont val="華康粗圓體"/>
        <family val="3"/>
      </rPr>
      <t>隊</t>
    </r>
    <r>
      <rPr>
        <sz val="9"/>
        <rFont val="Arial Narrow"/>
        <family val="2"/>
      </rPr>
      <t>)</t>
    </r>
  </si>
  <si>
    <r>
      <rPr>
        <sz val="9"/>
        <rFont val="華康粗圓體"/>
        <family val="3"/>
      </rPr>
      <t xml:space="preserve">志工數
</t>
    </r>
    <r>
      <rPr>
        <sz val="9"/>
        <rFont val="Arial Narrow"/>
        <family val="2"/>
      </rPr>
      <t>(</t>
    </r>
    <r>
      <rPr>
        <sz val="9"/>
        <rFont val="華康粗圓體"/>
        <family val="3"/>
      </rPr>
      <t>人</t>
    </r>
    <r>
      <rPr>
        <sz val="9"/>
        <rFont val="Arial Narrow"/>
        <family val="2"/>
      </rPr>
      <t>)</t>
    </r>
  </si>
  <si>
    <r>
      <t>(</t>
    </r>
    <r>
      <rPr>
        <sz val="9"/>
        <rFont val="華康粗圓體"/>
        <family val="3"/>
      </rPr>
      <t>處</t>
    </r>
    <r>
      <rPr>
        <sz val="9"/>
        <rFont val="Arial Narrow"/>
        <family val="2"/>
      </rPr>
      <t>)</t>
    </r>
  </si>
  <si>
    <r>
      <rPr>
        <sz val="9"/>
        <rFont val="華康粗圓體"/>
        <family val="3"/>
      </rPr>
      <t>（處）</t>
    </r>
  </si>
  <si>
    <r>
      <t>(</t>
    </r>
    <r>
      <rPr>
        <sz val="9"/>
        <rFont val="華康粗圓體"/>
        <family val="3"/>
      </rPr>
      <t>期</t>
    </r>
    <r>
      <rPr>
        <sz val="9"/>
        <rFont val="Arial Narrow"/>
        <family val="2"/>
      </rPr>
      <t>)</t>
    </r>
  </si>
  <si>
    <t>Limited Medical Subsidies</t>
  </si>
  <si>
    <t>-</t>
  </si>
  <si>
    <r>
      <rPr>
        <sz val="10"/>
        <color indexed="8"/>
        <rFont val="華康粗圓體"/>
        <family val="3"/>
      </rPr>
      <t>民國</t>
    </r>
    <r>
      <rPr>
        <sz val="10"/>
        <color indexed="8"/>
        <rFont val="Arial Narrow"/>
        <family val="2"/>
      </rPr>
      <t>97</t>
    </r>
    <r>
      <rPr>
        <sz val="10"/>
        <color indexed="8"/>
        <rFont val="華康粗圓體"/>
        <family val="3"/>
      </rPr>
      <t xml:space="preserve">年
</t>
    </r>
    <r>
      <rPr>
        <sz val="10"/>
        <color indexed="8"/>
        <rFont val="Arial Narrow"/>
        <family val="2"/>
      </rPr>
      <t>2008</t>
    </r>
  </si>
  <si>
    <r>
      <rPr>
        <sz val="10"/>
        <rFont val="華康粗圓體"/>
        <family val="3"/>
      </rPr>
      <t>民國</t>
    </r>
    <r>
      <rPr>
        <sz val="10"/>
        <rFont val="Arial Narrow"/>
        <family val="2"/>
      </rPr>
      <t>105</t>
    </r>
    <r>
      <rPr>
        <sz val="10"/>
        <rFont val="華康粗圓體"/>
        <family val="3"/>
      </rPr>
      <t xml:space="preserve">年
</t>
    </r>
    <r>
      <rPr>
        <sz val="10"/>
        <rFont val="Arial Narrow"/>
        <family val="2"/>
      </rPr>
      <t>2016</t>
    </r>
  </si>
  <si>
    <t>Source : Department of Social Welfare, Taoyuan City Gov.</t>
  </si>
  <si>
    <r>
      <rPr>
        <sz val="10"/>
        <rFont val="華康粗圓體"/>
        <family val="3"/>
      </rPr>
      <t>民國</t>
    </r>
    <r>
      <rPr>
        <sz val="10"/>
        <rFont val="Arial Narrow"/>
        <family val="2"/>
      </rPr>
      <t>105</t>
    </r>
    <r>
      <rPr>
        <sz val="10"/>
        <rFont val="華康粗圓體"/>
        <family val="3"/>
      </rPr>
      <t>年底</t>
    </r>
    <r>
      <rPr>
        <sz val="10"/>
        <rFont val="Arial Narrow"/>
        <family val="2"/>
      </rPr>
      <t xml:space="preserve"> End of 2016</t>
    </r>
  </si>
  <si>
    <r>
      <rPr>
        <sz val="10"/>
        <rFont val="華康粗圓體"/>
        <family val="3"/>
      </rPr>
      <t>民國</t>
    </r>
    <r>
      <rPr>
        <sz val="10"/>
        <rFont val="Arial Narrow"/>
        <family val="2"/>
      </rPr>
      <t>105</t>
    </r>
    <r>
      <rPr>
        <sz val="10"/>
        <rFont val="華康粗圓體"/>
        <family val="3"/>
      </rPr>
      <t>年</t>
    </r>
    <r>
      <rPr>
        <sz val="10"/>
        <rFont val="Arial Narrow"/>
        <family val="2"/>
      </rPr>
      <t xml:space="preserve">  2016</t>
    </r>
  </si>
  <si>
    <r>
      <rPr>
        <sz val="10"/>
        <rFont val="華康粗圓體"/>
        <family val="3"/>
      </rPr>
      <t>民國</t>
    </r>
    <r>
      <rPr>
        <sz val="10"/>
        <rFont val="Arial Narrow"/>
        <family val="2"/>
      </rPr>
      <t>105</t>
    </r>
    <r>
      <rPr>
        <sz val="10"/>
        <rFont val="華康粗圓體"/>
        <family val="3"/>
      </rPr>
      <t xml:space="preserve">年
</t>
    </r>
    <r>
      <rPr>
        <sz val="10"/>
        <rFont val="Arial Narrow"/>
        <family val="2"/>
      </rPr>
      <t>2016</t>
    </r>
  </si>
  <si>
    <t>Source : Department of Social Welfare, Taoyuan City Gov.</t>
  </si>
  <si>
    <t>Note : 1. Class 1 refers to those households whose population all have no work capacity, income and property.</t>
  </si>
  <si>
    <t xml:space="preserve">           2. Class 2 refers to those families whose working population constitutes to one-third or less of the total household population.</t>
  </si>
  <si>
    <t xml:space="preserve">               The total household income is equally distributed through the familiy, and the monthly expenditure per person is below</t>
  </si>
  <si>
    <t xml:space="preserve">               two-thirds of the subsistence level.</t>
  </si>
  <si>
    <t xml:space="preserve">          3. Class 3 refers to those families whose total household income is equally distributed through the household population,</t>
  </si>
  <si>
    <t xml:space="preserve">               and the monthly expenditure per capita is above two-thirds of the subsistence level, but less than the subsistence level. </t>
  </si>
  <si>
    <r>
      <rPr>
        <sz val="10"/>
        <rFont val="華康粗圓體"/>
        <family val="3"/>
      </rPr>
      <t>節日慰問</t>
    </r>
  </si>
  <si>
    <r>
      <rPr>
        <sz val="10"/>
        <rFont val="華康粗圓體"/>
        <family val="3"/>
      </rPr>
      <t>其他補助</t>
    </r>
  </si>
  <si>
    <t>Employment Counseling</t>
  </si>
  <si>
    <r>
      <rPr>
        <sz val="10"/>
        <rFont val="華康粗圓體"/>
        <family val="3"/>
      </rPr>
      <t>職業訓練</t>
    </r>
  </si>
  <si>
    <t>Education Subsidies</t>
  </si>
  <si>
    <t>Funeral Subsidies</t>
  </si>
  <si>
    <t>Festival Grants</t>
  </si>
  <si>
    <t>Others</t>
  </si>
  <si>
    <t>Year</t>
  </si>
  <si>
    <t>Employment Service</t>
  </si>
  <si>
    <t>Vocational Training</t>
  </si>
  <si>
    <t>Work Relief</t>
  </si>
  <si>
    <t>Person-times</t>
  </si>
  <si>
    <t>Amount</t>
  </si>
  <si>
    <t>Persons</t>
  </si>
  <si>
    <t>Household-times</t>
  </si>
  <si>
    <t>…</t>
  </si>
  <si>
    <t>-</t>
  </si>
  <si>
    <t>Social Welfare</t>
  </si>
  <si>
    <t>Table 11-9. Persons and Living Assistance of Mid-Income Families</t>
  </si>
  <si>
    <r>
      <rPr>
        <sz val="8.5"/>
        <rFont val="華康粗圓體"/>
        <family val="3"/>
      </rPr>
      <t xml:space="preserve">占全市
總戶數比率
</t>
    </r>
    <r>
      <rPr>
        <sz val="8.5"/>
        <rFont val="Arial Narrow"/>
        <family val="2"/>
      </rPr>
      <t>(%)</t>
    </r>
  </si>
  <si>
    <r>
      <rPr>
        <sz val="8.5"/>
        <rFont val="華康粗圓體"/>
        <family val="3"/>
      </rPr>
      <t xml:space="preserve">占全市
總人口比率
</t>
    </r>
    <r>
      <rPr>
        <sz val="8.5"/>
        <rFont val="Arial Narrow"/>
        <family val="2"/>
      </rPr>
      <t>(%)</t>
    </r>
  </si>
  <si>
    <t>Employment Service</t>
  </si>
  <si>
    <t>Vocational Training</t>
  </si>
  <si>
    <t>Work Relief</t>
  </si>
  <si>
    <t>As a Percentage of Total Households of the City</t>
  </si>
  <si>
    <t>Persons</t>
  </si>
  <si>
    <t>As a Percentage of Total Population of the City</t>
  </si>
  <si>
    <t>Person-
times</t>
  </si>
  <si>
    <t>Amount</t>
  </si>
  <si>
    <t>Persons</t>
  </si>
  <si>
    <t>Person-times</t>
  </si>
  <si>
    <t>…</t>
  </si>
  <si>
    <t>Source : Department of Social Welfare, Taoyuan City Gov.</t>
  </si>
  <si>
    <t xml:space="preserve">              accepting subsidies).</t>
  </si>
  <si>
    <t>Social Welfare</t>
  </si>
  <si>
    <t>Table 11-10. Living Allowance for Mid or Low Income Elders and Old-Age Farmers Welfare Allowance</t>
  </si>
  <si>
    <t>Source : Ministry of Health and Welfare, Bureau of Labor Insurance, Ministry of Labor.</t>
  </si>
  <si>
    <t xml:space="preserve">Note : The figures in the "Persons" columns are the year-end data; whereas those in the "Amount" columns are </t>
  </si>
  <si>
    <t xml:space="preserve">           rounded-off numbers for the whole year.</t>
  </si>
  <si>
    <t>Social Welfare</t>
  </si>
  <si>
    <t>Table 11-10. Living Allowance for Mid or Low Income Elders and Old-Age Farmers Welfare Allowance (Cont.)</t>
  </si>
  <si>
    <t>Unit : Persons , NT$1,000</t>
  </si>
  <si>
    <t>People</t>
  </si>
  <si>
    <r>
      <rPr>
        <sz val="10"/>
        <color indexed="8"/>
        <rFont val="華康粗圓體"/>
        <family val="3"/>
      </rPr>
      <t>民國</t>
    </r>
    <r>
      <rPr>
        <sz val="10"/>
        <color indexed="8"/>
        <rFont val="Arial Narrow"/>
        <family val="2"/>
      </rPr>
      <t>105</t>
    </r>
    <r>
      <rPr>
        <sz val="10"/>
        <color indexed="8"/>
        <rFont val="華康粗圓體"/>
        <family val="3"/>
      </rPr>
      <t xml:space="preserve">年
</t>
    </r>
    <r>
      <rPr>
        <sz val="10"/>
        <color indexed="8"/>
        <rFont val="Arial Narrow"/>
        <family val="2"/>
      </rPr>
      <t>2016</t>
    </r>
  </si>
  <si>
    <r>
      <rPr>
        <sz val="10"/>
        <rFont val="華康粗圓體"/>
        <family val="3"/>
      </rPr>
      <t>民國</t>
    </r>
    <r>
      <rPr>
        <sz val="10"/>
        <rFont val="Arial Narrow"/>
        <family val="2"/>
      </rPr>
      <t>105</t>
    </r>
    <r>
      <rPr>
        <sz val="10"/>
        <rFont val="華康粗圓體"/>
        <family val="3"/>
      </rPr>
      <t xml:space="preserve">年
</t>
    </r>
    <r>
      <rPr>
        <sz val="10"/>
        <rFont val="Arial Narrow"/>
        <family val="2"/>
      </rPr>
      <t>2016</t>
    </r>
  </si>
  <si>
    <r>
      <rPr>
        <sz val="9.5"/>
        <rFont val="華康粗圓體"/>
        <family val="3"/>
      </rPr>
      <t xml:space="preserve">受理報案或
查報遊民
處理人數
</t>
    </r>
    <r>
      <rPr>
        <sz val="9.5"/>
        <rFont val="Arial Narrow"/>
        <family val="2"/>
      </rPr>
      <t>(</t>
    </r>
    <r>
      <rPr>
        <sz val="9.5"/>
        <rFont val="華康粗圓體"/>
        <family val="3"/>
      </rPr>
      <t>人件</t>
    </r>
    <r>
      <rPr>
        <sz val="9.5"/>
        <rFont val="Arial Narrow"/>
        <family val="2"/>
      </rPr>
      <t>)</t>
    </r>
  </si>
  <si>
    <t>-</t>
  </si>
  <si>
    <t>Source : Department of Social Welfare, Taoyuan City Gov.</t>
  </si>
  <si>
    <t>-</t>
  </si>
  <si>
    <t>Source : Department of Social Welfare, Taoyuan City Gov.</t>
  </si>
  <si>
    <t>Social Welfare</t>
  </si>
  <si>
    <t>Table 11-15. The Conditions of Elderly Welfare Services (Cont.)</t>
  </si>
  <si>
    <t>Unit : Persons, Person-times</t>
  </si>
  <si>
    <r>
      <rPr>
        <sz val="10"/>
        <rFont val="華康粗圓體"/>
        <family val="3"/>
      </rPr>
      <t>年底老人福利服務</t>
    </r>
    <r>
      <rPr>
        <sz val="10"/>
        <rFont val="Arial Narrow"/>
        <family val="2"/>
      </rPr>
      <t>(</t>
    </r>
    <r>
      <rPr>
        <sz val="10"/>
        <rFont val="華康粗圓體"/>
        <family val="3"/>
      </rPr>
      <t>文康</t>
    </r>
    <r>
      <rPr>
        <sz val="10"/>
        <rFont val="Arial Narrow"/>
        <family val="2"/>
      </rPr>
      <t>)</t>
    </r>
    <r>
      <rPr>
        <sz val="10"/>
        <rFont val="華康粗圓體"/>
        <family val="3"/>
      </rPr>
      <t>中心</t>
    </r>
    <r>
      <rPr>
        <sz val="10"/>
        <rFont val="Arial Narrow"/>
        <family val="2"/>
      </rPr>
      <t>(</t>
    </r>
    <r>
      <rPr>
        <sz val="10"/>
        <rFont val="華康粗圓體"/>
        <family val="3"/>
      </rPr>
      <t>個</t>
    </r>
    <r>
      <rPr>
        <sz val="10"/>
        <rFont val="Arial Narrow"/>
        <family val="2"/>
      </rPr>
      <t>)</t>
    </r>
  </si>
  <si>
    <r>
      <rPr>
        <sz val="10"/>
        <rFont val="華康粗圓體"/>
        <family val="3"/>
      </rPr>
      <t>長青學苑辦理成果</t>
    </r>
  </si>
  <si>
    <r>
      <rPr>
        <sz val="10"/>
        <rFont val="華康粗圓體"/>
        <family val="3"/>
      </rPr>
      <t>居家服務</t>
    </r>
  </si>
  <si>
    <r>
      <rPr>
        <sz val="10"/>
        <rFont val="華康粗圓體"/>
        <family val="3"/>
      </rPr>
      <t>老人營養餐飲服務</t>
    </r>
  </si>
  <si>
    <t>Elderly Welfare Services (Recreation and Culture) Centers, End of Year (Units)</t>
  </si>
  <si>
    <t>Achievements in Evergreen Academy</t>
  </si>
  <si>
    <t>Home Care Services</t>
  </si>
  <si>
    <t>Nutritional Food Services for the Aged</t>
  </si>
  <si>
    <r>
      <rPr>
        <sz val="10"/>
        <rFont val="華康粗圓體"/>
        <family val="3"/>
      </rPr>
      <t xml:space="preserve">全市性老人文康
</t>
    </r>
    <r>
      <rPr>
        <sz val="10"/>
        <rFont val="Arial Narrow"/>
        <family val="2"/>
      </rPr>
      <t>(</t>
    </r>
    <r>
      <rPr>
        <sz val="10"/>
        <rFont val="華康粗圓體"/>
        <family val="3"/>
      </rPr>
      <t>福利服務</t>
    </r>
    <r>
      <rPr>
        <sz val="10"/>
        <rFont val="Arial Narrow"/>
        <family val="2"/>
      </rPr>
      <t>)</t>
    </r>
    <r>
      <rPr>
        <sz val="10"/>
        <rFont val="華康粗圓體"/>
        <family val="3"/>
      </rPr>
      <t>中心</t>
    </r>
  </si>
  <si>
    <r>
      <rPr>
        <sz val="10"/>
        <rFont val="華康粗圓體"/>
        <family val="3"/>
      </rPr>
      <t xml:space="preserve">各區老人文康
</t>
    </r>
    <r>
      <rPr>
        <sz val="10"/>
        <rFont val="Arial Narrow"/>
        <family val="2"/>
      </rPr>
      <t>(</t>
    </r>
    <r>
      <rPr>
        <sz val="10"/>
        <rFont val="華康粗圓體"/>
        <family val="3"/>
      </rPr>
      <t>福利服務</t>
    </r>
    <r>
      <rPr>
        <sz val="10"/>
        <rFont val="Arial Narrow"/>
        <family val="2"/>
      </rPr>
      <t>)</t>
    </r>
    <r>
      <rPr>
        <sz val="10"/>
        <rFont val="華康粗圓體"/>
        <family val="3"/>
      </rPr>
      <t>中心</t>
    </r>
  </si>
  <si>
    <r>
      <rPr>
        <sz val="9"/>
        <rFont val="華康粗圓體"/>
        <family val="3"/>
      </rPr>
      <t xml:space="preserve">社區型老人文康中心
</t>
    </r>
    <r>
      <rPr>
        <sz val="9"/>
        <rFont val="Arial Narrow"/>
        <family val="2"/>
      </rPr>
      <t>(</t>
    </r>
    <r>
      <rPr>
        <sz val="9"/>
        <rFont val="華康粗圓體"/>
        <family val="3"/>
      </rPr>
      <t>長壽俱樂部及其他
類型老人活動場所</t>
    </r>
    <r>
      <rPr>
        <sz val="9"/>
        <rFont val="Arial Narrow"/>
        <family val="2"/>
      </rPr>
      <t>)</t>
    </r>
  </si>
  <si>
    <r>
      <rPr>
        <sz val="10"/>
        <rFont val="華康粗圓體"/>
        <family val="3"/>
      </rPr>
      <t xml:space="preserve">其他類型
老人活動場所
</t>
    </r>
    <r>
      <rPr>
        <sz val="10"/>
        <rFont val="Arial Narrow"/>
        <family val="2"/>
      </rPr>
      <t>(</t>
    </r>
    <r>
      <rPr>
        <sz val="10"/>
        <rFont val="華康粗圓體"/>
        <family val="3"/>
      </rPr>
      <t>老人會暨其他團體</t>
    </r>
    <r>
      <rPr>
        <sz val="10"/>
        <rFont val="Arial Narrow"/>
        <family val="2"/>
      </rPr>
      <t>)</t>
    </r>
  </si>
  <si>
    <r>
      <rPr>
        <sz val="10"/>
        <rFont val="華康粗圓體"/>
        <family val="3"/>
      </rPr>
      <t xml:space="preserve">年底所數
</t>
    </r>
    <r>
      <rPr>
        <sz val="10"/>
        <rFont val="Arial Narrow"/>
        <family val="2"/>
      </rPr>
      <t>(</t>
    </r>
    <r>
      <rPr>
        <sz val="10"/>
        <rFont val="華康粗圓體"/>
        <family val="3"/>
      </rPr>
      <t>所</t>
    </r>
    <r>
      <rPr>
        <sz val="10"/>
        <rFont val="Arial Narrow"/>
        <family val="2"/>
      </rPr>
      <t>)</t>
    </r>
  </si>
  <si>
    <r>
      <rPr>
        <sz val="10"/>
        <rFont val="華康粗圓體"/>
        <family val="3"/>
      </rPr>
      <t xml:space="preserve">班數
</t>
    </r>
    <r>
      <rPr>
        <sz val="10"/>
        <rFont val="Arial Narrow"/>
        <family val="2"/>
      </rPr>
      <t>(</t>
    </r>
    <r>
      <rPr>
        <sz val="10"/>
        <rFont val="華康粗圓體"/>
        <family val="3"/>
      </rPr>
      <t>班</t>
    </r>
    <r>
      <rPr>
        <sz val="10"/>
        <rFont val="Arial Narrow"/>
        <family val="2"/>
      </rPr>
      <t>)</t>
    </r>
  </si>
  <si>
    <t>Year</t>
  </si>
  <si>
    <t>Total</t>
  </si>
  <si>
    <t>Recreation
(Welfare Service)
Centers for City</t>
  </si>
  <si>
    <t>Recreation
(Welfare Service)
Centers for Districts.</t>
  </si>
  <si>
    <t>Senior Clubs, Type Community
(The Longevity Clubs &amp; Other Types of Activity Sites for the Elderly)</t>
  </si>
  <si>
    <t>Others</t>
  </si>
  <si>
    <t>No. of Academies,
End of Year
(Units)</t>
  </si>
  <si>
    <t>No. of
Classes
(Classes)</t>
  </si>
  <si>
    <t>No. of
Attended
Persons</t>
  </si>
  <si>
    <t>No. of Beneficiaries,
End of Year</t>
  </si>
  <si>
    <t>No.of
Beneficiary-times</t>
  </si>
  <si>
    <t>…</t>
  </si>
  <si>
    <t>-</t>
  </si>
  <si>
    <t>Social Welfare</t>
  </si>
  <si>
    <t>Table 11-17. The Conditions of Organizations of Child Care Service</t>
  </si>
  <si>
    <t>Unit: Places, Persons</t>
  </si>
  <si>
    <r>
      <rPr>
        <sz val="8.5"/>
        <rFont val="華康粗圓體"/>
        <family val="3"/>
      </rPr>
      <t xml:space="preserve">教保
</t>
    </r>
    <r>
      <rPr>
        <sz val="8.5"/>
        <rFont val="Arial Narrow"/>
        <family val="2"/>
      </rPr>
      <t>(</t>
    </r>
    <r>
      <rPr>
        <sz val="8.5"/>
        <rFont val="華康粗圓體"/>
        <family val="3"/>
      </rPr>
      <t>含助理</t>
    </r>
    <r>
      <rPr>
        <sz val="8.5"/>
        <rFont val="Arial Narrow"/>
        <family val="2"/>
      </rPr>
      <t xml:space="preserve">)
</t>
    </r>
    <r>
      <rPr>
        <sz val="8.5"/>
        <rFont val="華康粗圓體"/>
        <family val="3"/>
      </rPr>
      <t>員數</t>
    </r>
  </si>
  <si>
    <r>
      <rPr>
        <sz val="8"/>
        <rFont val="華康粗圓體"/>
        <family val="3"/>
      </rPr>
      <t xml:space="preserve">保母、教保
</t>
    </r>
    <r>
      <rPr>
        <sz val="8"/>
        <rFont val="Arial Narrow"/>
        <family val="2"/>
      </rPr>
      <t>(</t>
    </r>
    <r>
      <rPr>
        <sz val="8"/>
        <rFont val="華康粗圓體"/>
        <family val="3"/>
      </rPr>
      <t>含助理</t>
    </r>
    <r>
      <rPr>
        <sz val="8"/>
        <rFont val="Arial Narrow"/>
        <family val="2"/>
      </rPr>
      <t xml:space="preserve">)
</t>
    </r>
    <r>
      <rPr>
        <sz val="8"/>
        <rFont val="華康粗圓體"/>
        <family val="3"/>
      </rPr>
      <t>員數</t>
    </r>
  </si>
  <si>
    <t>Nursemaid and Child Care
(Included Assistant)
Workers</t>
  </si>
  <si>
    <t>No. of
Organi-
zations</t>
  </si>
  <si>
    <t>No. of
Cared</t>
  </si>
  <si>
    <t>No. of
Professional
Workers</t>
  </si>
  <si>
    <t>Child Care
(Included Assistant)
Workers</t>
  </si>
  <si>
    <r>
      <rPr>
        <sz val="10"/>
        <rFont val="華康粗圓體"/>
        <family val="3"/>
      </rPr>
      <t>民國</t>
    </r>
    <r>
      <rPr>
        <sz val="10"/>
        <rFont val="Arial Narrow"/>
        <family val="2"/>
      </rPr>
      <t>101</t>
    </r>
    <r>
      <rPr>
        <sz val="10"/>
        <rFont val="華康粗圓體"/>
        <family val="3"/>
      </rPr>
      <t xml:space="preserve">年底
</t>
    </r>
    <r>
      <rPr>
        <sz val="10"/>
        <rFont val="Arial Narrow"/>
        <family val="2"/>
      </rPr>
      <t>End of 2012</t>
    </r>
  </si>
  <si>
    <r>
      <rPr>
        <sz val="10"/>
        <rFont val="華康粗圓體"/>
        <family val="3"/>
      </rPr>
      <t>民國</t>
    </r>
    <r>
      <rPr>
        <sz val="10"/>
        <rFont val="Arial Narrow"/>
        <family val="2"/>
      </rPr>
      <t>105</t>
    </r>
    <r>
      <rPr>
        <sz val="10"/>
        <rFont val="華康粗圓體"/>
        <family val="3"/>
      </rPr>
      <t xml:space="preserve">年底
</t>
    </r>
    <r>
      <rPr>
        <sz val="10"/>
        <rFont val="Arial Narrow"/>
        <family val="2"/>
      </rPr>
      <t>End of 2016</t>
    </r>
  </si>
  <si>
    <t>Source : Department of Social Welfare and Department of Education, Taoyuan City Gov.</t>
  </si>
  <si>
    <t>Note :The format of this table has changed because the format of the statement was modified in 2012.</t>
  </si>
  <si>
    <t xml:space="preserve">  </t>
  </si>
  <si>
    <t>Table 11-18. The Conditions of Women Welfare Services</t>
  </si>
  <si>
    <r>
      <rPr>
        <sz val="10"/>
        <rFont val="華康粗圓體"/>
        <family val="3"/>
      </rPr>
      <t>其他</t>
    </r>
  </si>
  <si>
    <t>Housing/Sheltering Centers</t>
  </si>
  <si>
    <t>Parenting Lectures</t>
  </si>
  <si>
    <t>Welfare Activities</t>
  </si>
  <si>
    <t>Growth Education</t>
  </si>
  <si>
    <t>No. of Institutions of Welfare Service Centers, End of Year
(Place)</t>
  </si>
  <si>
    <t>Consulting
Assistance
(Person-times)</t>
  </si>
  <si>
    <r>
      <rPr>
        <sz val="10"/>
        <rFont val="華康粗圓體"/>
        <family val="3"/>
      </rPr>
      <t xml:space="preserve">參加人次
</t>
    </r>
    <r>
      <rPr>
        <sz val="10"/>
        <rFont val="Arial Narrow"/>
        <family val="2"/>
      </rPr>
      <t>(</t>
    </r>
    <r>
      <rPr>
        <sz val="10"/>
        <rFont val="華康粗圓體"/>
        <family val="3"/>
      </rPr>
      <t>人次</t>
    </r>
    <r>
      <rPr>
        <sz val="10"/>
        <rFont val="Arial Narrow"/>
        <family val="2"/>
      </rPr>
      <t>)</t>
    </r>
  </si>
  <si>
    <t>No. of Institutions, End of Year
(Place)</t>
  </si>
  <si>
    <t>Accommodated Persons
(Person-times)</t>
  </si>
  <si>
    <t>No. of Times
(Times)</t>
  </si>
  <si>
    <t>No. of Participants 
(Person-times)</t>
  </si>
  <si>
    <t>No. of Classes
(Classes)</t>
  </si>
  <si>
    <t>Welfare and Interests  Activities</t>
  </si>
  <si>
    <t>Team Scheme Service</t>
  </si>
  <si>
    <t>Organizes Empower Activities</t>
  </si>
  <si>
    <t>Sex Realizes Empower Activities</t>
  </si>
  <si>
    <t>Cases  Management  Service
(Person-times)</t>
  </si>
  <si>
    <t>No.of Participants 
(Person-times)</t>
  </si>
  <si>
    <t>Classes
(Classes)</t>
  </si>
  <si>
    <t>Table 11-18. The Conditions of Women Welfare Services (Cont.)</t>
  </si>
  <si>
    <t>Others</t>
  </si>
  <si>
    <t>Telephone Interview
(Person-times)</t>
  </si>
  <si>
    <t>Family Visit
(Person-times)</t>
  </si>
  <si>
    <t>Cases Management and Counselling Services
(Person-times)</t>
  </si>
  <si>
    <r>
      <rPr>
        <sz val="10"/>
        <rFont val="華康粗圓體"/>
        <family val="3"/>
      </rPr>
      <t xml:space="preserve">辦理場次
</t>
    </r>
    <r>
      <rPr>
        <sz val="10"/>
        <rFont val="Arial Narrow"/>
        <family val="2"/>
      </rPr>
      <t>(</t>
    </r>
    <r>
      <rPr>
        <sz val="10"/>
        <rFont val="華康粗圓體"/>
        <family val="3"/>
      </rPr>
      <t>次</t>
    </r>
    <r>
      <rPr>
        <sz val="10"/>
        <rFont val="Arial Narrow"/>
        <family val="2"/>
      </rPr>
      <t>)</t>
    </r>
  </si>
  <si>
    <r>
      <rPr>
        <sz val="10"/>
        <rFont val="華康粗圓體"/>
        <family val="3"/>
      </rPr>
      <t>年別</t>
    </r>
    <r>
      <rPr>
        <sz val="10"/>
        <rFont val="Arial Narrow"/>
        <family val="2"/>
      </rPr>
      <t xml:space="preserve"> </t>
    </r>
  </si>
  <si>
    <r>
      <rPr>
        <sz val="10"/>
        <rFont val="華康粗圓體"/>
        <family val="3"/>
      </rPr>
      <t xml:space="preserve">電話訪問
</t>
    </r>
    <r>
      <rPr>
        <sz val="10"/>
        <rFont val="Arial Narrow"/>
        <family val="2"/>
      </rPr>
      <t>(</t>
    </r>
    <r>
      <rPr>
        <sz val="10"/>
        <rFont val="華康粗圓體"/>
        <family val="3"/>
      </rPr>
      <t>人次</t>
    </r>
    <r>
      <rPr>
        <sz val="10"/>
        <rFont val="Arial Narrow"/>
        <family val="2"/>
      </rPr>
      <t>)</t>
    </r>
  </si>
  <si>
    <r>
      <rPr>
        <sz val="10"/>
        <rFont val="華康粗圓體"/>
        <family val="3"/>
      </rPr>
      <t xml:space="preserve">個案管理
輔導服務
</t>
    </r>
    <r>
      <rPr>
        <sz val="10"/>
        <rFont val="Arial Narrow"/>
        <family val="2"/>
      </rPr>
      <t>(</t>
    </r>
    <r>
      <rPr>
        <sz val="10"/>
        <rFont val="華康粗圓體"/>
        <family val="3"/>
      </rPr>
      <t>人次</t>
    </r>
    <r>
      <rPr>
        <sz val="10"/>
        <rFont val="Arial Narrow"/>
        <family val="2"/>
      </rPr>
      <t>)</t>
    </r>
  </si>
  <si>
    <t xml:space="preserve">Telephone Interview
(Person-times)
</t>
  </si>
  <si>
    <t>Cases Management and Counselling Services
(Person-times)</t>
  </si>
  <si>
    <r>
      <rPr>
        <sz val="10"/>
        <rFont val="華康粗圓體"/>
        <family val="3"/>
      </rPr>
      <t xml:space="preserve">辦理場次
</t>
    </r>
    <r>
      <rPr>
        <sz val="10"/>
        <rFont val="Arial Narrow"/>
        <family val="2"/>
      </rPr>
      <t>(</t>
    </r>
    <r>
      <rPr>
        <sz val="10"/>
        <rFont val="華康粗圓體"/>
        <family val="3"/>
      </rPr>
      <t>次</t>
    </r>
    <r>
      <rPr>
        <sz val="10"/>
        <rFont val="Arial Narrow"/>
        <family val="2"/>
      </rPr>
      <t>)</t>
    </r>
  </si>
  <si>
    <r>
      <rPr>
        <sz val="10"/>
        <rFont val="華康粗圓體"/>
        <family val="3"/>
      </rPr>
      <t>民國</t>
    </r>
    <r>
      <rPr>
        <sz val="10"/>
        <rFont val="Arial Narrow"/>
        <family val="2"/>
      </rPr>
      <t>105</t>
    </r>
    <r>
      <rPr>
        <sz val="10"/>
        <rFont val="華康粗圓體"/>
        <family val="3"/>
      </rPr>
      <t>年</t>
    </r>
    <r>
      <rPr>
        <sz val="10"/>
        <rFont val="Arial Narrow"/>
        <family val="2"/>
      </rPr>
      <t xml:space="preserve"> 2016</t>
    </r>
  </si>
  <si>
    <r>
      <rPr>
        <sz val="10"/>
        <rFont val="華康粗圓體"/>
        <family val="3"/>
      </rPr>
      <t>民國</t>
    </r>
    <r>
      <rPr>
        <sz val="10"/>
        <rFont val="Arial Narrow"/>
        <family val="2"/>
      </rPr>
      <t>105</t>
    </r>
    <r>
      <rPr>
        <sz val="10"/>
        <rFont val="華康粗圓體"/>
        <family val="3"/>
      </rPr>
      <t>年底</t>
    </r>
    <r>
      <rPr>
        <sz val="10"/>
        <rFont val="Arial Narrow"/>
        <family val="2"/>
      </rPr>
      <t xml:space="preserve"> End of 2016</t>
    </r>
  </si>
  <si>
    <t>Social Welfare</t>
  </si>
  <si>
    <t>Table 11-20. Social Welfare Personnel (Cont. 1)</t>
  </si>
  <si>
    <t>Unit : Persons</t>
  </si>
  <si>
    <t>Administrators</t>
  </si>
  <si>
    <t>Licensed Social Workers</t>
  </si>
  <si>
    <t>Specialists</t>
  </si>
  <si>
    <t xml:space="preserve">     Public Sectors</t>
  </si>
  <si>
    <t xml:space="preserve">         Department of Social Welfare</t>
  </si>
  <si>
    <t xml:space="preserve">         Administrative District Offices</t>
  </si>
  <si>
    <t xml:space="preserve">         Other Welfare Organizations </t>
  </si>
  <si>
    <t xml:space="preserve">     Government-owned,Contractor-</t>
  </si>
  <si>
    <t xml:space="preserve">     operated Organizations</t>
  </si>
  <si>
    <t>Social Welfare</t>
  </si>
  <si>
    <t>Table 11-20. Number of  Social Workers (Cont. 2)</t>
  </si>
  <si>
    <t>Unit : Persons</t>
  </si>
  <si>
    <r>
      <rPr>
        <sz val="10"/>
        <rFont val="華康粗圓體"/>
        <family val="3"/>
      </rPr>
      <t>社會保險</t>
    </r>
    <r>
      <rPr>
        <sz val="10"/>
        <rFont val="Arial Narrow"/>
        <family val="2"/>
      </rPr>
      <t xml:space="preserve"> Social Insurance</t>
    </r>
  </si>
  <si>
    <r>
      <rPr>
        <sz val="10"/>
        <rFont val="華康粗圓體"/>
        <family val="3"/>
      </rPr>
      <t>社會工作</t>
    </r>
    <r>
      <rPr>
        <sz val="10"/>
        <rFont val="Arial Narrow"/>
        <family val="2"/>
      </rPr>
      <t xml:space="preserve"> Social Works</t>
    </r>
  </si>
  <si>
    <t>Administrators</t>
  </si>
  <si>
    <t>Licensed Social Workers</t>
  </si>
  <si>
    <t>Specialists</t>
  </si>
  <si>
    <t xml:space="preserve">    Public Sectors</t>
  </si>
  <si>
    <r>
      <t xml:space="preserve">    </t>
    </r>
    <r>
      <rPr>
        <sz val="10"/>
        <rFont val="華康粗圓體"/>
        <family val="3"/>
      </rPr>
      <t>桃園市政府社會局</t>
    </r>
  </si>
  <si>
    <t xml:space="preserve">          Department of Social Welfare</t>
  </si>
  <si>
    <r>
      <t xml:space="preserve">          </t>
    </r>
    <r>
      <rPr>
        <sz val="10"/>
        <rFont val="華康粗圓體"/>
        <family val="3"/>
      </rPr>
      <t>各區公所</t>
    </r>
  </si>
  <si>
    <t xml:space="preserve">           Administrative District Offices</t>
  </si>
  <si>
    <t xml:space="preserve">           Other Welfare Organizations </t>
  </si>
  <si>
    <r>
      <t xml:space="preserve">    </t>
    </r>
    <r>
      <rPr>
        <sz val="10"/>
        <rFont val="華康粗圓體"/>
        <family val="3"/>
      </rPr>
      <t>公設民營機構</t>
    </r>
  </si>
  <si>
    <t xml:space="preserve">    Government-owned,Contractor-</t>
  </si>
  <si>
    <t xml:space="preserve">    operated Organizations</t>
  </si>
  <si>
    <t>Social Welfare</t>
  </si>
  <si>
    <t>Table 11-20. Number of  Social Workers (Cont. 3 End)</t>
  </si>
  <si>
    <t>Unit : Persons</t>
  </si>
  <si>
    <r>
      <rPr>
        <sz val="10"/>
        <rFont val="華康粗圓體"/>
        <family val="3"/>
      </rPr>
      <t>保護服務</t>
    </r>
    <r>
      <rPr>
        <sz val="10"/>
        <rFont val="Arial Narrow"/>
        <family val="2"/>
      </rPr>
      <t xml:space="preserve"> Protective Service</t>
    </r>
  </si>
  <si>
    <t>Administrators</t>
  </si>
  <si>
    <t>Licensed Social Workers</t>
  </si>
  <si>
    <t>Specialists</t>
  </si>
  <si>
    <t xml:space="preserve">     Public Sectors</t>
  </si>
  <si>
    <r>
      <t xml:space="preserve">        </t>
    </r>
    <r>
      <rPr>
        <sz val="10"/>
        <rFont val="華康粗圓體"/>
        <family val="3"/>
      </rPr>
      <t>桃園市政府社會局</t>
    </r>
  </si>
  <si>
    <t xml:space="preserve">        Department of Social Welfare</t>
  </si>
  <si>
    <r>
      <t xml:space="preserve">        </t>
    </r>
    <r>
      <rPr>
        <sz val="10"/>
        <rFont val="華康粗圓體"/>
        <family val="3"/>
      </rPr>
      <t>各區公所</t>
    </r>
  </si>
  <si>
    <t xml:space="preserve">         Administrative District Offices</t>
  </si>
  <si>
    <t xml:space="preserve">         Other Welfare Organizations </t>
  </si>
  <si>
    <r>
      <t xml:space="preserve">    </t>
    </r>
    <r>
      <rPr>
        <sz val="10"/>
        <rFont val="華康粗圓體"/>
        <family val="3"/>
      </rPr>
      <t>公設民營機構</t>
    </r>
  </si>
  <si>
    <t xml:space="preserve">    Government-owned,Contractor-</t>
  </si>
  <si>
    <t xml:space="preserve">    operated Organizations</t>
  </si>
  <si>
    <t>Note : The items of "Protective Service" and "Others" were calculated since 2015.</t>
  </si>
  <si>
    <t>Collateral  Relative by Blood within  Four  Degrees  of  Kinship</t>
  </si>
  <si>
    <t xml:space="preserve">              , Maitreya Buddhism, Universe Maitreya Faith, the Red Swastika Society. Other churches included Tenrikyo , Bahaism , Mahikari</t>
  </si>
  <si>
    <t xml:space="preserve">              , the Church of Scientology,  the Holy Spirit Association for the Unification of World Christianity, and Church of Latter- Day Saints </t>
  </si>
  <si>
    <r>
      <t xml:space="preserve">               </t>
    </r>
    <r>
      <rPr>
        <sz val="10"/>
        <rFont val="華康粗圓體"/>
        <family val="3"/>
      </rPr>
      <t>第</t>
    </r>
    <r>
      <rPr>
        <sz val="10"/>
        <rFont val="Arial Narrow"/>
        <family val="2"/>
      </rPr>
      <t>1</t>
    </r>
    <r>
      <rPr>
        <sz val="10"/>
        <rFont val="華康粗圓體"/>
        <family val="3"/>
      </rPr>
      <t xml:space="preserve">季
</t>
    </r>
    <r>
      <rPr>
        <sz val="10"/>
        <rFont val="Arial Narrow"/>
        <family val="2"/>
      </rPr>
      <t xml:space="preserve">              1st Quarter</t>
    </r>
  </si>
  <si>
    <r>
      <t xml:space="preserve">               </t>
    </r>
    <r>
      <rPr>
        <sz val="10"/>
        <rFont val="華康粗圓體"/>
        <family val="3"/>
      </rPr>
      <t>第</t>
    </r>
    <r>
      <rPr>
        <sz val="10"/>
        <rFont val="Arial Narrow"/>
        <family val="2"/>
      </rPr>
      <t>2</t>
    </r>
    <r>
      <rPr>
        <sz val="10"/>
        <rFont val="華康粗圓體"/>
        <family val="3"/>
      </rPr>
      <t xml:space="preserve">季
</t>
    </r>
    <r>
      <rPr>
        <sz val="10"/>
        <rFont val="Arial Narrow"/>
        <family val="2"/>
      </rPr>
      <t xml:space="preserve">              2nd Quarter</t>
    </r>
  </si>
  <si>
    <r>
      <t xml:space="preserve">               </t>
    </r>
    <r>
      <rPr>
        <sz val="10"/>
        <rFont val="華康粗圓體"/>
        <family val="3"/>
      </rPr>
      <t>第</t>
    </r>
    <r>
      <rPr>
        <sz val="10"/>
        <rFont val="Arial Narrow"/>
        <family val="2"/>
      </rPr>
      <t>3</t>
    </r>
    <r>
      <rPr>
        <sz val="10"/>
        <rFont val="華康粗圓體"/>
        <family val="3"/>
      </rPr>
      <t xml:space="preserve">季
</t>
    </r>
    <r>
      <rPr>
        <sz val="10"/>
        <rFont val="Arial Narrow"/>
        <family val="2"/>
      </rPr>
      <t xml:space="preserve">              3rd Quarter</t>
    </r>
  </si>
  <si>
    <r>
      <t xml:space="preserve">               </t>
    </r>
    <r>
      <rPr>
        <sz val="10"/>
        <rFont val="華康粗圓體"/>
        <family val="3"/>
      </rPr>
      <t>第</t>
    </r>
    <r>
      <rPr>
        <sz val="10"/>
        <rFont val="Arial Narrow"/>
        <family val="2"/>
      </rPr>
      <t>4</t>
    </r>
    <r>
      <rPr>
        <sz val="10"/>
        <rFont val="華康粗圓體"/>
        <family val="3"/>
      </rPr>
      <t xml:space="preserve">季
</t>
    </r>
    <r>
      <rPr>
        <sz val="10"/>
        <rFont val="Arial Narrow"/>
        <family val="2"/>
      </rPr>
      <t xml:space="preserve">              4th Quarter</t>
    </r>
  </si>
  <si>
    <t>Grand Total (End of Year(Quarter))</t>
  </si>
  <si>
    <t>Note : 1.The person-times of employment counceling are counted as follows: sum (each one * months of each one</t>
  </si>
  <si>
    <t xml:space="preserve">             middle-low-income households were provided from then on.</t>
  </si>
  <si>
    <r>
      <rPr>
        <sz val="10"/>
        <rFont val="華康粗圓體"/>
        <family val="3"/>
      </rPr>
      <t>社會福利</t>
    </r>
  </si>
  <si>
    <r>
      <rPr>
        <sz val="10"/>
        <rFont val="華康粗圓體"/>
        <family val="3"/>
      </rPr>
      <t>單位：件</t>
    </r>
  </si>
  <si>
    <r>
      <rPr>
        <sz val="13"/>
        <rFont val="華康粗圓體"/>
        <family val="3"/>
      </rPr>
      <t>表</t>
    </r>
    <r>
      <rPr>
        <sz val="13"/>
        <rFont val="Arial Narrow"/>
        <family val="2"/>
      </rPr>
      <t>11-22</t>
    </r>
    <r>
      <rPr>
        <sz val="13"/>
        <rFont val="華康粗圓體"/>
        <family val="3"/>
      </rPr>
      <t>、家庭暴力通報案件</t>
    </r>
  </si>
  <si>
    <r>
      <rPr>
        <sz val="10"/>
        <rFont val="華康粗圓體"/>
        <family val="3"/>
      </rPr>
      <t>資料來源：本府社會局。</t>
    </r>
  </si>
  <si>
    <r>
      <rPr>
        <sz val="13"/>
        <rFont val="華康粗圓體"/>
        <family val="3"/>
      </rPr>
      <t>表</t>
    </r>
    <r>
      <rPr>
        <sz val="13"/>
        <rFont val="Arial Narrow"/>
        <family val="2"/>
      </rPr>
      <t>11-21</t>
    </r>
    <r>
      <rPr>
        <sz val="13"/>
        <rFont val="華康粗圓體"/>
        <family val="3"/>
      </rPr>
      <t>、性侵害通報案件</t>
    </r>
  </si>
  <si>
    <r>
      <rPr>
        <sz val="13"/>
        <rFont val="華康粗圓體"/>
        <family val="3"/>
      </rPr>
      <t>表</t>
    </r>
    <r>
      <rPr>
        <sz val="13"/>
        <rFont val="Arial Narrow"/>
        <family val="2"/>
      </rPr>
      <t>11-20</t>
    </r>
    <r>
      <rPr>
        <sz val="13"/>
        <rFont val="華康粗圓體"/>
        <family val="3"/>
      </rPr>
      <t>、社會福利工作人員數（續</t>
    </r>
    <r>
      <rPr>
        <sz val="13"/>
        <rFont val="Arial Narrow"/>
        <family val="2"/>
      </rPr>
      <t xml:space="preserve"> 3 </t>
    </r>
    <r>
      <rPr>
        <sz val="13"/>
        <rFont val="華康粗圓體"/>
        <family val="3"/>
      </rPr>
      <t>完）</t>
    </r>
    <r>
      <rPr>
        <sz val="13"/>
        <rFont val="Arial Narrow"/>
        <family val="2"/>
      </rPr>
      <t xml:space="preserve">          </t>
    </r>
  </si>
  <si>
    <r>
      <rPr>
        <sz val="10"/>
        <rFont val="華康粗圓體"/>
        <family val="3"/>
      </rPr>
      <t>單位：人</t>
    </r>
  </si>
  <si>
    <r>
      <rPr>
        <sz val="10"/>
        <rFont val="華康粗圓體"/>
        <family val="3"/>
      </rPr>
      <t>其他</t>
    </r>
    <r>
      <rPr>
        <sz val="10"/>
        <rFont val="Arial Narrow"/>
        <family val="2"/>
      </rPr>
      <t xml:space="preserve"> Others</t>
    </r>
  </si>
  <si>
    <r>
      <rPr>
        <sz val="10"/>
        <rFont val="華康粗圓體"/>
        <family val="3"/>
      </rPr>
      <t>行政人員</t>
    </r>
  </si>
  <si>
    <r>
      <rPr>
        <sz val="10"/>
        <rFont val="華康粗圓體"/>
        <family val="3"/>
      </rPr>
      <t>社會工作
人員</t>
    </r>
  </si>
  <si>
    <r>
      <rPr>
        <sz val="10"/>
        <rFont val="華康粗圓體"/>
        <family val="3"/>
      </rPr>
      <t>其他人員</t>
    </r>
  </si>
  <si>
    <r>
      <rPr>
        <sz val="10"/>
        <rFont val="華康粗圓體"/>
        <family val="3"/>
      </rPr>
      <t>說明：自</t>
    </r>
    <r>
      <rPr>
        <sz val="10"/>
        <rFont val="Arial Narrow"/>
        <family val="2"/>
      </rPr>
      <t>104</t>
    </r>
    <r>
      <rPr>
        <sz val="10"/>
        <rFont val="華康粗圓體"/>
        <family val="3"/>
      </rPr>
      <t>年起，本表新增「保護服務」及「其他」統計項目。</t>
    </r>
  </si>
  <si>
    <r>
      <rPr>
        <sz val="13"/>
        <rFont val="華康粗圓體"/>
        <family val="3"/>
      </rPr>
      <t>表</t>
    </r>
    <r>
      <rPr>
        <sz val="13"/>
        <rFont val="Arial Narrow"/>
        <family val="2"/>
      </rPr>
      <t>11-20</t>
    </r>
    <r>
      <rPr>
        <sz val="13"/>
        <rFont val="華康粗圓體"/>
        <family val="3"/>
      </rPr>
      <t>、社會福利工作人員數（續</t>
    </r>
    <r>
      <rPr>
        <sz val="13"/>
        <rFont val="Arial Narrow"/>
        <family val="2"/>
      </rPr>
      <t xml:space="preserve"> 2</t>
    </r>
    <r>
      <rPr>
        <sz val="13"/>
        <rFont val="華康粗圓體"/>
        <family val="3"/>
      </rPr>
      <t>）</t>
    </r>
    <r>
      <rPr>
        <sz val="13"/>
        <rFont val="Arial Narrow"/>
        <family val="2"/>
      </rPr>
      <t xml:space="preserve">          </t>
    </r>
  </si>
  <si>
    <r>
      <rPr>
        <sz val="10"/>
        <rFont val="華康粗圓體"/>
        <family val="3"/>
      </rPr>
      <t>社會救助</t>
    </r>
    <r>
      <rPr>
        <sz val="10"/>
        <rFont val="Arial Narrow"/>
        <family val="2"/>
      </rPr>
      <t xml:space="preserve"> Social Assistance</t>
    </r>
  </si>
  <si>
    <r>
      <rPr>
        <sz val="13"/>
        <rFont val="華康粗圓體"/>
        <family val="3"/>
      </rPr>
      <t>表</t>
    </r>
    <r>
      <rPr>
        <sz val="13"/>
        <rFont val="Arial Narrow"/>
        <family val="2"/>
      </rPr>
      <t>11-20</t>
    </r>
    <r>
      <rPr>
        <sz val="13"/>
        <rFont val="華康粗圓體"/>
        <family val="3"/>
      </rPr>
      <t>、社會福利工作人員數</t>
    </r>
    <r>
      <rPr>
        <sz val="13"/>
        <rFont val="Arial Narrow"/>
        <family val="2"/>
      </rPr>
      <t xml:space="preserve"> </t>
    </r>
    <r>
      <rPr>
        <sz val="13"/>
        <rFont val="華康粗圓體"/>
        <family val="3"/>
      </rPr>
      <t>（續</t>
    </r>
    <r>
      <rPr>
        <sz val="13"/>
        <rFont val="Arial Narrow"/>
        <family val="2"/>
      </rPr>
      <t xml:space="preserve"> 1</t>
    </r>
    <r>
      <rPr>
        <sz val="13"/>
        <rFont val="華康粗圓體"/>
        <family val="3"/>
      </rPr>
      <t>）</t>
    </r>
  </si>
  <si>
    <r>
      <rPr>
        <sz val="10"/>
        <rFont val="華康粗圓體"/>
        <family val="3"/>
      </rPr>
      <t>老人福利</t>
    </r>
    <r>
      <rPr>
        <sz val="10"/>
        <rFont val="Arial Narrow"/>
        <family val="2"/>
      </rPr>
      <t xml:space="preserve"> The Elderly Welfare</t>
    </r>
  </si>
  <si>
    <r>
      <rPr>
        <sz val="10"/>
        <rFont val="華康粗圓體"/>
        <family val="3"/>
      </rPr>
      <t>身心障礙福利</t>
    </r>
    <r>
      <rPr>
        <sz val="10"/>
        <rFont val="Arial Narrow"/>
        <family val="2"/>
      </rPr>
      <t xml:space="preserve"> Disabled Welfare</t>
    </r>
  </si>
  <si>
    <r>
      <rPr>
        <sz val="10"/>
        <rFont val="華康粗圓體"/>
        <family val="3"/>
      </rPr>
      <t>總計</t>
    </r>
    <r>
      <rPr>
        <sz val="10"/>
        <rFont val="Arial Narrow"/>
        <family val="2"/>
      </rPr>
      <t xml:space="preserve"> Grand Total</t>
    </r>
  </si>
  <si>
    <r>
      <rPr>
        <sz val="10"/>
        <rFont val="華康粗圓體"/>
        <family val="3"/>
      </rPr>
      <t>婦女福利</t>
    </r>
    <r>
      <rPr>
        <sz val="10"/>
        <rFont val="Arial Narrow"/>
        <family val="2"/>
      </rPr>
      <t xml:space="preserve"> Women Welfare</t>
    </r>
  </si>
  <si>
    <r>
      <rPr>
        <sz val="10"/>
        <rFont val="華康粗圓體"/>
        <family val="3"/>
      </rPr>
      <t>說　　明：</t>
    </r>
    <r>
      <rPr>
        <sz val="10"/>
        <rFont val="Arial Narrow"/>
        <family val="2"/>
      </rPr>
      <t>1.</t>
    </r>
    <r>
      <rPr>
        <sz val="10"/>
        <rFont val="華康粗圓體"/>
        <family val="3"/>
      </rPr>
      <t>本表數字依個人實際承辦該項業務付出時間占實際上班時間之比率換算而成。</t>
    </r>
  </si>
  <si>
    <r>
      <rPr>
        <sz val="10"/>
        <rFont val="華康粗圓體"/>
        <family val="3"/>
      </rPr>
      <t>　　　　　</t>
    </r>
  </si>
  <si>
    <r>
      <rPr>
        <sz val="13"/>
        <rFont val="華康粗圓體"/>
        <family val="3"/>
      </rPr>
      <t>表</t>
    </r>
    <r>
      <rPr>
        <sz val="13"/>
        <rFont val="Arial Narrow"/>
        <family val="2"/>
      </rPr>
      <t>11-19</t>
    </r>
    <r>
      <rPr>
        <sz val="13"/>
        <rFont val="華康粗圓體"/>
        <family val="3"/>
      </rPr>
      <t>、特殊境遇家庭扶助服務概況</t>
    </r>
  </si>
  <si>
    <r>
      <rPr>
        <sz val="10"/>
        <rFont val="華康粗圓體"/>
        <family val="3"/>
      </rPr>
      <t>單位：人次；元</t>
    </r>
  </si>
  <si>
    <r>
      <rPr>
        <sz val="10"/>
        <rFont val="華康粗圓體"/>
        <family val="3"/>
      </rPr>
      <t>說　　明：緊急生活扶助、子女生活津貼及兒童托育津貼之人次為先將每人乘以受補助月數後，</t>
    </r>
  </si>
  <si>
    <r>
      <rPr>
        <sz val="10"/>
        <rFont val="華康粗圓體"/>
        <family val="3"/>
      </rPr>
      <t>　　　　　再予以加總而得。</t>
    </r>
  </si>
  <si>
    <r>
      <rPr>
        <sz val="10"/>
        <rFont val="華康粗圓體"/>
        <family val="3"/>
      </rPr>
      <t xml:space="preserve">家庭訪視
</t>
    </r>
    <r>
      <rPr>
        <sz val="10"/>
        <rFont val="Arial Narrow"/>
        <family val="2"/>
      </rPr>
      <t>(</t>
    </r>
    <r>
      <rPr>
        <sz val="10"/>
        <rFont val="華康粗圓體"/>
        <family val="3"/>
      </rPr>
      <t>人次</t>
    </r>
    <r>
      <rPr>
        <sz val="10"/>
        <rFont val="Arial Narrow"/>
        <family val="2"/>
      </rPr>
      <t>)</t>
    </r>
  </si>
  <si>
    <r>
      <rPr>
        <sz val="13"/>
        <rFont val="華康粗圓體"/>
        <family val="3"/>
      </rPr>
      <t>表</t>
    </r>
    <r>
      <rPr>
        <sz val="13"/>
        <rFont val="Arial Narrow"/>
        <family val="2"/>
      </rPr>
      <t>11-17</t>
    </r>
    <r>
      <rPr>
        <sz val="13"/>
        <rFont val="華康粗圓體"/>
        <family val="3"/>
      </rPr>
      <t>、托育機構概況</t>
    </r>
  </si>
  <si>
    <r>
      <rPr>
        <sz val="10"/>
        <rFont val="華康粗圓體"/>
        <family val="3"/>
      </rPr>
      <t>單位：所；人</t>
    </r>
  </si>
  <si>
    <r>
      <rPr>
        <sz val="10"/>
        <rFont val="華康粗圓體"/>
        <family val="3"/>
      </rPr>
      <t>公立托兒所</t>
    </r>
  </si>
  <si>
    <r>
      <rPr>
        <sz val="10"/>
        <rFont val="華康粗圓體"/>
        <family val="3"/>
      </rPr>
      <t>私立托嬰中心</t>
    </r>
  </si>
  <si>
    <r>
      <rPr>
        <sz val="10"/>
        <rFont val="華康粗圓體"/>
        <family val="3"/>
      </rPr>
      <t>公設民營托嬰中心</t>
    </r>
  </si>
  <si>
    <r>
      <rPr>
        <sz val="10"/>
        <rFont val="華康粗圓體"/>
        <family val="3"/>
      </rPr>
      <t>兒童課後照顧服務中心</t>
    </r>
  </si>
  <si>
    <r>
      <rPr>
        <sz val="10"/>
        <rFont val="華康粗圓體"/>
        <family val="3"/>
      </rPr>
      <t>資料來源：本府社會局、教育局。</t>
    </r>
  </si>
  <si>
    <r>
      <rPr>
        <sz val="13"/>
        <rFont val="華康粗圓體"/>
        <family val="3"/>
      </rPr>
      <t>表</t>
    </r>
    <r>
      <rPr>
        <sz val="13"/>
        <rFont val="Arial Narrow"/>
        <family val="2"/>
      </rPr>
      <t>11-16</t>
    </r>
    <r>
      <rPr>
        <sz val="13"/>
        <rFont val="華康粗圓體"/>
        <family val="3"/>
      </rPr>
      <t>、兒童及少年福利服務概況</t>
    </r>
  </si>
  <si>
    <r>
      <rPr>
        <sz val="10"/>
        <rFont val="華康粗圓體"/>
        <family val="3"/>
      </rPr>
      <t>單位：所；人；人次；千元</t>
    </r>
  </si>
  <si>
    <r>
      <rPr>
        <sz val="10"/>
        <rFont val="華康粗圓體"/>
        <family val="3"/>
      </rPr>
      <t>兒童及少年福利機構</t>
    </r>
  </si>
  <si>
    <r>
      <rPr>
        <sz val="10"/>
        <rFont val="華康粗圓體"/>
        <family val="3"/>
      </rPr>
      <t>弱勢兒童及少年</t>
    </r>
  </si>
  <si>
    <r>
      <rPr>
        <sz val="10"/>
        <rFont val="華康粗圓體"/>
        <family val="3"/>
      </rPr>
      <t>說　　明：弱勢兒童及少年各項扶</t>
    </r>
    <r>
      <rPr>
        <sz val="10"/>
        <rFont val="Arial Narrow"/>
        <family val="2"/>
      </rPr>
      <t>(</t>
    </r>
    <r>
      <rPr>
        <sz val="10"/>
        <rFont val="華康粗圓體"/>
        <family val="3"/>
      </rPr>
      <t>補</t>
    </r>
    <r>
      <rPr>
        <sz val="10"/>
        <rFont val="Arial Narrow"/>
        <family val="2"/>
      </rPr>
      <t>)</t>
    </r>
    <r>
      <rPr>
        <sz val="10"/>
        <rFont val="華康粗圓體"/>
        <family val="3"/>
      </rPr>
      <t>助之人次為先將每人乘以受補助月數後，再予以加總而得。</t>
    </r>
  </si>
  <si>
    <r>
      <rPr>
        <sz val="13"/>
        <rFont val="華康粗圓體"/>
        <family val="3"/>
      </rPr>
      <t>表</t>
    </r>
    <r>
      <rPr>
        <sz val="13"/>
        <rFont val="Arial Narrow"/>
        <family val="2"/>
      </rPr>
      <t>11-15</t>
    </r>
    <r>
      <rPr>
        <sz val="13"/>
        <rFont val="華康粗圓體"/>
        <family val="3"/>
      </rPr>
      <t>、老人福利服務概況（續）</t>
    </r>
  </si>
  <si>
    <r>
      <rPr>
        <sz val="10"/>
        <rFont val="華康粗圓體"/>
        <family val="3"/>
      </rPr>
      <t>單位：人；人次</t>
    </r>
  </si>
  <si>
    <r>
      <rPr>
        <sz val="10"/>
        <rFont val="華康粗圓體"/>
        <family val="3"/>
      </rPr>
      <t>開　　班
參加人數</t>
    </r>
  </si>
  <si>
    <r>
      <rPr>
        <sz val="10"/>
        <rFont val="華康粗圓體"/>
        <family val="3"/>
      </rPr>
      <t>年底人數</t>
    </r>
  </si>
  <si>
    <r>
      <rPr>
        <sz val="13"/>
        <rFont val="華康粗圓體"/>
        <family val="3"/>
      </rPr>
      <t>表</t>
    </r>
    <r>
      <rPr>
        <sz val="13"/>
        <rFont val="Arial Narrow"/>
        <family val="2"/>
      </rPr>
      <t>11-15</t>
    </r>
    <r>
      <rPr>
        <sz val="13"/>
        <rFont val="華康粗圓體"/>
        <family val="3"/>
      </rPr>
      <t>、老人福利服務概況</t>
    </r>
  </si>
  <si>
    <r>
      <rPr>
        <sz val="10"/>
        <rFont val="華康粗圓體"/>
        <family val="3"/>
      </rPr>
      <t>單位：所；人；人次</t>
    </r>
  </si>
  <si>
    <r>
      <rPr>
        <sz val="10"/>
        <rFont val="華康粗圓體"/>
        <family val="3"/>
      </rPr>
      <t>年底社區安養堂</t>
    </r>
  </si>
  <si>
    <r>
      <rPr>
        <sz val="10"/>
        <rFont val="華康粗圓體"/>
        <family val="3"/>
      </rPr>
      <t>年底老人公寓</t>
    </r>
  </si>
  <si>
    <r>
      <rPr>
        <sz val="13"/>
        <rFont val="華康粗圓體"/>
        <family val="3"/>
      </rPr>
      <t>表</t>
    </r>
    <r>
      <rPr>
        <sz val="13"/>
        <rFont val="Arial Narrow"/>
        <family val="2"/>
      </rPr>
      <t>11-14</t>
    </r>
    <r>
      <rPr>
        <sz val="13"/>
        <rFont val="華康粗圓體"/>
        <family val="3"/>
      </rPr>
      <t>、遊民人數及處理情形</t>
    </r>
  </si>
  <si>
    <r>
      <rPr>
        <sz val="10"/>
        <rFont val="華康粗圓體"/>
        <family val="3"/>
      </rPr>
      <t>合　計</t>
    </r>
  </si>
  <si>
    <r>
      <rPr>
        <sz val="10"/>
        <rFont val="華康粗圓體"/>
        <family val="3"/>
      </rPr>
      <t>轉介福利
服　　務</t>
    </r>
  </si>
  <si>
    <r>
      <rPr>
        <sz val="10"/>
        <rFont val="華康粗圓體"/>
        <family val="3"/>
      </rPr>
      <t>轉介就業
服務或
職業訓練</t>
    </r>
  </si>
  <si>
    <r>
      <rPr>
        <sz val="10"/>
        <rFont val="華康粗圓體"/>
        <family val="3"/>
      </rPr>
      <t>結合資源
輔導租屋</t>
    </r>
  </si>
  <si>
    <r>
      <rPr>
        <sz val="10"/>
        <rFont val="華康粗圓體"/>
        <family val="3"/>
      </rPr>
      <t>收</t>
    </r>
    <r>
      <rPr>
        <sz val="10"/>
        <rFont val="Arial Narrow"/>
        <family val="2"/>
      </rPr>
      <t xml:space="preserve">  </t>
    </r>
    <r>
      <rPr>
        <sz val="10"/>
        <rFont val="華康粗圓體"/>
        <family val="3"/>
      </rPr>
      <t>容</t>
    </r>
    <r>
      <rPr>
        <sz val="10"/>
        <rFont val="Arial Narrow"/>
        <family val="2"/>
      </rPr>
      <t xml:space="preserve">  </t>
    </r>
    <r>
      <rPr>
        <sz val="10"/>
        <rFont val="華康粗圓體"/>
        <family val="3"/>
      </rPr>
      <t>情</t>
    </r>
    <r>
      <rPr>
        <sz val="10"/>
        <rFont val="Arial Narrow"/>
        <family val="2"/>
      </rPr>
      <t xml:space="preserve">  </t>
    </r>
    <r>
      <rPr>
        <sz val="10"/>
        <rFont val="華康粗圓體"/>
        <family val="3"/>
      </rPr>
      <t>形</t>
    </r>
    <r>
      <rPr>
        <sz val="10"/>
        <rFont val="Arial Narrow"/>
        <family val="2"/>
      </rPr>
      <t xml:space="preserve">  Status of Settle Down</t>
    </r>
  </si>
  <si>
    <r>
      <rPr>
        <sz val="10"/>
        <rFont val="華康粗圓體"/>
        <family val="3"/>
      </rPr>
      <t>精　神
療養院</t>
    </r>
  </si>
  <si>
    <r>
      <rPr>
        <sz val="10"/>
        <rFont val="華康粗圓體"/>
        <family val="3"/>
      </rPr>
      <t>遊　民
收容所</t>
    </r>
  </si>
  <si>
    <r>
      <rPr>
        <sz val="10"/>
        <rFont val="華康粗圓體"/>
        <family val="3"/>
      </rPr>
      <t>其他有關
機　　關</t>
    </r>
  </si>
  <si>
    <r>
      <rPr>
        <sz val="13"/>
        <rFont val="華康粗圓體"/>
        <family val="3"/>
      </rPr>
      <t>表</t>
    </r>
    <r>
      <rPr>
        <sz val="13"/>
        <rFont val="Arial Narrow"/>
        <family val="2"/>
      </rPr>
      <t>11-13</t>
    </r>
    <r>
      <rPr>
        <sz val="13"/>
        <rFont val="華康粗圓體"/>
        <family val="3"/>
      </rPr>
      <t>、遭受災害救助情形</t>
    </r>
  </si>
  <si>
    <r>
      <rPr>
        <sz val="10"/>
        <rFont val="華康粗圓體"/>
        <family val="3"/>
      </rPr>
      <t>說　　明：</t>
    </r>
    <r>
      <rPr>
        <sz val="10"/>
        <rFont val="Arial Narrow"/>
        <family val="2"/>
      </rPr>
      <t>101</t>
    </r>
    <r>
      <rPr>
        <sz val="10"/>
        <rFont val="華康粗圓體"/>
        <family val="3"/>
      </rPr>
      <t>年</t>
    </r>
    <r>
      <rPr>
        <sz val="10"/>
        <rFont val="Arial Narrow"/>
        <family val="2"/>
      </rPr>
      <t>6</t>
    </r>
    <r>
      <rPr>
        <sz val="10"/>
        <rFont val="華康粗圓體"/>
        <family val="3"/>
      </rPr>
      <t>月</t>
    </r>
    <r>
      <rPr>
        <sz val="10"/>
        <rFont val="Arial Narrow"/>
        <family val="2"/>
      </rPr>
      <t>11</t>
    </r>
    <r>
      <rPr>
        <sz val="10"/>
        <rFont val="華康粗圓體"/>
        <family val="3"/>
      </rPr>
      <t>日水災災損嚴重。</t>
    </r>
  </si>
  <si>
    <r>
      <rPr>
        <sz val="10"/>
        <rFont val="華康粗圓體"/>
        <family val="3"/>
      </rPr>
      <t>社會福利</t>
    </r>
  </si>
  <si>
    <r>
      <rPr>
        <sz val="13"/>
        <rFont val="華康粗圓體"/>
        <family val="3"/>
      </rPr>
      <t>表</t>
    </r>
    <r>
      <rPr>
        <sz val="13"/>
        <rFont val="Arial Narrow"/>
        <family val="2"/>
      </rPr>
      <t>11-12</t>
    </r>
    <r>
      <rPr>
        <sz val="13"/>
        <rFont val="華康粗圓體"/>
        <family val="3"/>
      </rPr>
      <t>、辦理急難救助概況（續）</t>
    </r>
  </si>
  <si>
    <r>
      <rPr>
        <sz val="13"/>
        <rFont val="華康粗圓體"/>
        <family val="3"/>
      </rPr>
      <t>表</t>
    </r>
    <r>
      <rPr>
        <sz val="13"/>
        <rFont val="Arial Narrow"/>
        <family val="2"/>
      </rPr>
      <t>11-12</t>
    </r>
    <r>
      <rPr>
        <sz val="13"/>
        <rFont val="華康粗圓體"/>
        <family val="3"/>
      </rPr>
      <t>、辦理急難救助概況</t>
    </r>
  </si>
  <si>
    <r>
      <rPr>
        <sz val="10"/>
        <rFont val="華康粗圓體"/>
        <family val="3"/>
      </rPr>
      <t>合　　　　　計</t>
    </r>
  </si>
  <si>
    <r>
      <rPr>
        <sz val="10"/>
        <rFont val="華康粗圓體"/>
        <family val="3"/>
      </rPr>
      <t>死亡無力殮葬者</t>
    </r>
  </si>
  <si>
    <r>
      <rPr>
        <sz val="10"/>
        <rFont val="華康粗圓體"/>
        <family val="3"/>
      </rPr>
      <t>遭受意外傷害或罹患
重病致生活陷於困境者</t>
    </r>
  </si>
  <si>
    <r>
      <rPr>
        <sz val="13"/>
        <rFont val="華康粗圓體"/>
        <family val="3"/>
      </rPr>
      <t>表</t>
    </r>
    <r>
      <rPr>
        <sz val="13"/>
        <rFont val="Arial Narrow"/>
        <family val="2"/>
      </rPr>
      <t>11-11</t>
    </r>
    <r>
      <rPr>
        <sz val="13"/>
        <rFont val="華康粗圓體"/>
        <family val="3"/>
      </rPr>
      <t>、辦理社會救助醫療補助概況</t>
    </r>
  </si>
  <si>
    <r>
      <rPr>
        <sz val="10"/>
        <rFont val="華康粗圓體"/>
        <family val="3"/>
      </rPr>
      <t>單位：人次；日；元</t>
    </r>
  </si>
  <si>
    <r>
      <rPr>
        <sz val="10"/>
        <rFont val="華康粗圓體"/>
        <family val="3"/>
      </rPr>
      <t>住院人次</t>
    </r>
  </si>
  <si>
    <r>
      <rPr>
        <sz val="10"/>
        <rFont val="華康粗圓體"/>
        <family val="3"/>
      </rPr>
      <t>住院總日數</t>
    </r>
  </si>
  <si>
    <r>
      <rPr>
        <sz val="10"/>
        <rFont val="華康粗圓體"/>
        <family val="3"/>
      </rPr>
      <t>住院醫療補助</t>
    </r>
  </si>
  <si>
    <r>
      <rPr>
        <sz val="10"/>
        <rFont val="華康粗圓體"/>
        <family val="3"/>
      </rPr>
      <t>門　　診
醫療補助</t>
    </r>
  </si>
  <si>
    <r>
      <rPr>
        <sz val="13"/>
        <rFont val="華康粗圓體"/>
        <family val="3"/>
      </rPr>
      <t>表</t>
    </r>
    <r>
      <rPr>
        <sz val="13"/>
        <rFont val="Arial Narrow"/>
        <family val="2"/>
      </rPr>
      <t>11-10</t>
    </r>
    <r>
      <rPr>
        <sz val="13"/>
        <rFont val="華康粗圓體"/>
        <family val="3"/>
      </rPr>
      <t>、中低收入老人生活津貼與老農津貼（續）</t>
    </r>
  </si>
  <si>
    <r>
      <rPr>
        <sz val="10"/>
        <rFont val="華康粗圓體"/>
        <family val="3"/>
      </rPr>
      <t>單位：人；千元</t>
    </r>
  </si>
  <si>
    <r>
      <rPr>
        <sz val="10"/>
        <rFont val="華康粗圓體"/>
        <family val="3"/>
      </rPr>
      <t>老　農　津　貼</t>
    </r>
  </si>
  <si>
    <r>
      <rPr>
        <sz val="10"/>
        <rFont val="華康粗圓體"/>
        <family val="3"/>
      </rPr>
      <t>核付人數</t>
    </r>
  </si>
  <si>
    <r>
      <rPr>
        <sz val="10"/>
        <rFont val="華康粗圓體"/>
        <family val="3"/>
      </rPr>
      <t>第二款</t>
    </r>
  </si>
  <si>
    <r>
      <rPr>
        <sz val="10"/>
        <rFont val="華康粗圓體"/>
        <family val="3"/>
      </rPr>
      <t>資料來源：本府社會局。</t>
    </r>
  </si>
  <si>
    <r>
      <rPr>
        <sz val="10"/>
        <rFont val="華康粗圓體"/>
        <family val="3"/>
      </rPr>
      <t>說明：</t>
    </r>
    <r>
      <rPr>
        <sz val="10"/>
        <rFont val="Arial Narrow"/>
        <family val="2"/>
      </rPr>
      <t>1.</t>
    </r>
    <r>
      <rPr>
        <sz val="10"/>
        <rFont val="華康粗圓體"/>
        <family val="3"/>
      </rPr>
      <t>輔導就業服務之人次為先將每人乘以接受服務月數後，再予以加總而得。</t>
    </r>
  </si>
  <si>
    <r>
      <rPr>
        <sz val="10"/>
        <color indexed="9"/>
        <rFont val="華康粗圓體"/>
        <family val="3"/>
      </rPr>
      <t>說明：</t>
    </r>
    <r>
      <rPr>
        <sz val="10"/>
        <rFont val="Arial Narrow"/>
        <family val="2"/>
      </rPr>
      <t>2.99</t>
    </r>
    <r>
      <rPr>
        <sz val="10"/>
        <rFont val="華康粗圓體"/>
        <family val="3"/>
      </rPr>
      <t>年</t>
    </r>
    <r>
      <rPr>
        <sz val="10"/>
        <rFont val="Arial Narrow"/>
        <family val="2"/>
      </rPr>
      <t>12</t>
    </r>
    <r>
      <rPr>
        <sz val="10"/>
        <rFont val="華康粗圓體"/>
        <family val="3"/>
      </rPr>
      <t>月修正社會救助法，自</t>
    </r>
    <r>
      <rPr>
        <sz val="10"/>
        <rFont val="Arial Narrow"/>
        <family val="2"/>
      </rPr>
      <t>100</t>
    </r>
    <r>
      <rPr>
        <sz val="10"/>
        <rFont val="華康粗圓體"/>
        <family val="3"/>
      </rPr>
      <t>年</t>
    </r>
    <r>
      <rPr>
        <sz val="10"/>
        <rFont val="Arial Narrow"/>
        <family val="2"/>
      </rPr>
      <t>7</t>
    </r>
    <r>
      <rPr>
        <sz val="10"/>
        <rFont val="華康粗圓體"/>
        <family val="3"/>
      </rPr>
      <t>月增加中低收入戶扶助對象。</t>
    </r>
  </si>
  <si>
    <r>
      <rPr>
        <sz val="10"/>
        <color indexed="9"/>
        <rFont val="Arial Narrow"/>
        <family val="2"/>
      </rPr>
      <t xml:space="preserve">Note : </t>
    </r>
    <r>
      <rPr>
        <sz val="10"/>
        <rFont val="Arial Narrow"/>
        <family val="2"/>
      </rPr>
      <t xml:space="preserve">2.Since "Public Assistance Act",amended and promulgated on Dec 2010,was enacted on July 2011,the assistance for </t>
    </r>
  </si>
  <si>
    <r>
      <rPr>
        <sz val="13"/>
        <rFont val="華康粗圓體"/>
        <family val="3"/>
      </rPr>
      <t>表</t>
    </r>
    <r>
      <rPr>
        <sz val="13"/>
        <rFont val="Arial Narrow"/>
        <family val="2"/>
      </rPr>
      <t>11-8</t>
    </r>
    <r>
      <rPr>
        <sz val="13"/>
        <rFont val="華康粗圓體"/>
        <family val="3"/>
      </rPr>
      <t>、低收入戶人數及生活扶助（續）</t>
    </r>
  </si>
  <si>
    <r>
      <rPr>
        <sz val="10"/>
        <rFont val="華康粗圓體"/>
        <family val="3"/>
      </rPr>
      <t>單位：人；人次；千元；戶次</t>
    </r>
  </si>
  <si>
    <r>
      <rPr>
        <sz val="10"/>
        <rFont val="華康粗圓體"/>
        <family val="3"/>
      </rPr>
      <t>就業服務</t>
    </r>
  </si>
  <si>
    <r>
      <rPr>
        <sz val="13"/>
        <rFont val="華康粗圓體"/>
        <family val="3"/>
      </rPr>
      <t>表</t>
    </r>
    <r>
      <rPr>
        <sz val="13"/>
        <rFont val="Arial Narrow"/>
        <family val="2"/>
      </rPr>
      <t>11-8</t>
    </r>
    <r>
      <rPr>
        <sz val="13"/>
        <rFont val="華康粗圓體"/>
        <family val="3"/>
      </rPr>
      <t>、低收入戶人數及生活扶助</t>
    </r>
  </si>
  <si>
    <r>
      <rPr>
        <sz val="10"/>
        <rFont val="華康粗圓體"/>
        <family val="3"/>
      </rPr>
      <t>單位：戶；人；人次；戶次；千元</t>
    </r>
  </si>
  <si>
    <r>
      <rPr>
        <sz val="10"/>
        <rFont val="華康粗圓體"/>
        <family val="3"/>
      </rPr>
      <t>家庭生活扶助</t>
    </r>
  </si>
  <si>
    <r>
      <rPr>
        <sz val="10"/>
        <rFont val="華康粗圓體"/>
        <family val="3"/>
      </rPr>
      <t>說明：</t>
    </r>
    <r>
      <rPr>
        <sz val="10"/>
        <rFont val="Arial Narrow"/>
        <family val="2"/>
      </rPr>
      <t>1.</t>
    </r>
    <r>
      <rPr>
        <sz val="10"/>
        <rFont val="華康粗圓體"/>
        <family val="3"/>
      </rPr>
      <t>第一款係指全家人口均無工作能力，且無收入及財產。</t>
    </r>
  </si>
  <si>
    <r>
      <rPr>
        <sz val="10"/>
        <rFont val="華康粗圓體"/>
        <family val="3"/>
      </rPr>
      <t>　　　</t>
    </r>
    <r>
      <rPr>
        <sz val="10"/>
        <rFont val="Arial Narrow"/>
        <family val="2"/>
      </rPr>
      <t>2.</t>
    </r>
    <r>
      <rPr>
        <sz val="10"/>
        <rFont val="華康粗圓體"/>
        <family val="3"/>
      </rPr>
      <t>第二款係指全家人口有工作能力者在總人口數三分之一以下，且家庭總收入平均分配全家人口，</t>
    </r>
  </si>
  <si>
    <r>
      <rPr>
        <sz val="10"/>
        <rFont val="華康粗圓體"/>
        <family val="3"/>
      </rPr>
      <t>　　　</t>
    </r>
    <r>
      <rPr>
        <sz val="10"/>
        <rFont val="Arial Narrow"/>
        <family val="2"/>
      </rPr>
      <t xml:space="preserve">   </t>
    </r>
    <r>
      <rPr>
        <sz val="10"/>
        <rFont val="華康粗圓體"/>
        <family val="3"/>
      </rPr>
      <t>每人每月在最低生活費三分之二以下。</t>
    </r>
  </si>
  <si>
    <r>
      <rPr>
        <sz val="10"/>
        <rFont val="華康粗圓體"/>
        <family val="3"/>
      </rPr>
      <t>　　　</t>
    </r>
    <r>
      <rPr>
        <sz val="10"/>
        <rFont val="Arial Narrow"/>
        <family val="2"/>
      </rPr>
      <t>3.</t>
    </r>
    <r>
      <rPr>
        <sz val="10"/>
        <rFont val="華康粗圓體"/>
        <family val="3"/>
      </rPr>
      <t>第三款係指家庭總收入平均分配全家人口，每人每月逾最低生活費三分之二，且在最低生活費</t>
    </r>
  </si>
  <si>
    <r>
      <rPr>
        <sz val="10"/>
        <rFont val="華康粗圓體"/>
        <family val="3"/>
      </rPr>
      <t>　　　</t>
    </r>
    <r>
      <rPr>
        <sz val="10"/>
        <rFont val="Arial Narrow"/>
        <family val="2"/>
      </rPr>
      <t xml:space="preserve">   </t>
    </r>
    <r>
      <rPr>
        <sz val="10"/>
        <rFont val="華康粗圓體"/>
        <family val="3"/>
      </rPr>
      <t>以下。</t>
    </r>
  </si>
  <si>
    <r>
      <rPr>
        <sz val="13"/>
        <rFont val="華康粗圓體"/>
        <family val="3"/>
      </rPr>
      <t>表</t>
    </r>
    <r>
      <rPr>
        <sz val="13"/>
        <rFont val="Arial Narrow"/>
        <family val="2"/>
      </rPr>
      <t>11-7</t>
    </r>
    <r>
      <rPr>
        <sz val="13"/>
        <rFont val="華康粗圓體"/>
        <family val="3"/>
      </rPr>
      <t>、身心障礙福利服務概況</t>
    </r>
  </si>
  <si>
    <r>
      <rPr>
        <sz val="10"/>
        <rFont val="華康粗圓體"/>
        <family val="3"/>
      </rPr>
      <t>單位：所；人；人次；千元</t>
    </r>
  </si>
  <si>
    <r>
      <rPr>
        <sz val="10"/>
        <rFont val="華康粗圓體"/>
        <family val="3"/>
      </rPr>
      <t>生活補助</t>
    </r>
  </si>
  <si>
    <r>
      <rPr>
        <sz val="10"/>
        <rFont val="華康粗圓體"/>
        <family val="3"/>
      </rPr>
      <t>托育養護補助</t>
    </r>
  </si>
  <si>
    <r>
      <rPr>
        <sz val="13"/>
        <rFont val="華康粗圓體"/>
        <family val="3"/>
      </rPr>
      <t>表</t>
    </r>
    <r>
      <rPr>
        <sz val="13"/>
        <rFont val="Arial Narrow"/>
        <family val="2"/>
      </rPr>
      <t>11-6</t>
    </r>
    <r>
      <rPr>
        <sz val="13"/>
        <rFont val="華康粗圓體"/>
        <family val="3"/>
      </rPr>
      <t>、身心障礙人數（續</t>
    </r>
    <r>
      <rPr>
        <sz val="13"/>
        <rFont val="Arial Narrow"/>
        <family val="2"/>
      </rPr>
      <t xml:space="preserve"> 2 </t>
    </r>
    <r>
      <rPr>
        <sz val="13"/>
        <rFont val="華康粗圓體"/>
        <family val="3"/>
      </rPr>
      <t>完）</t>
    </r>
  </si>
  <si>
    <r>
      <rPr>
        <sz val="10"/>
        <rFont val="華康粗圓體"/>
        <family val="3"/>
      </rPr>
      <t>民國</t>
    </r>
    <r>
      <rPr>
        <sz val="10"/>
        <rFont val="Arial Narrow"/>
        <family val="2"/>
      </rPr>
      <t>105</t>
    </r>
    <r>
      <rPr>
        <sz val="10"/>
        <rFont val="華康粗圓體"/>
        <family val="3"/>
      </rPr>
      <t>年底</t>
    </r>
    <r>
      <rPr>
        <sz val="10"/>
        <rFont val="Arial Narrow"/>
        <family val="2"/>
      </rPr>
      <t xml:space="preserve"> End of 2016</t>
    </r>
  </si>
  <si>
    <r>
      <rPr>
        <sz val="13"/>
        <rFont val="華康粗圓體"/>
        <family val="3"/>
      </rPr>
      <t>表</t>
    </r>
    <r>
      <rPr>
        <sz val="13"/>
        <rFont val="Arial Narrow"/>
        <family val="2"/>
      </rPr>
      <t>11-6</t>
    </r>
    <r>
      <rPr>
        <sz val="13"/>
        <rFont val="華康粗圓體"/>
        <family val="3"/>
      </rPr>
      <t>、身心障礙人數（續</t>
    </r>
    <r>
      <rPr>
        <sz val="13"/>
        <rFont val="Arial Narrow"/>
        <family val="2"/>
      </rPr>
      <t xml:space="preserve"> 1</t>
    </r>
    <r>
      <rPr>
        <sz val="13"/>
        <rFont val="華康粗圓體"/>
        <family val="3"/>
      </rPr>
      <t>）</t>
    </r>
  </si>
  <si>
    <r>
      <rPr>
        <sz val="13"/>
        <rFont val="華康粗圓體"/>
        <family val="3"/>
      </rPr>
      <t>表</t>
    </r>
    <r>
      <rPr>
        <sz val="13"/>
        <rFont val="Arial Narrow"/>
        <family val="2"/>
      </rPr>
      <t>11-6</t>
    </r>
    <r>
      <rPr>
        <sz val="13"/>
        <rFont val="華康粗圓體"/>
        <family val="3"/>
      </rPr>
      <t>、身心障礙人數</t>
    </r>
  </si>
  <si>
    <r>
      <rPr>
        <sz val="13"/>
        <rFont val="華康粗圓體"/>
        <family val="3"/>
      </rPr>
      <t>表</t>
    </r>
    <r>
      <rPr>
        <sz val="13"/>
        <rFont val="Arial Narrow"/>
        <family val="2"/>
      </rPr>
      <t>11-4</t>
    </r>
    <r>
      <rPr>
        <sz val="13"/>
        <rFont val="華康粗圓體"/>
        <family val="3"/>
      </rPr>
      <t>、合作社概況</t>
    </r>
  </si>
  <si>
    <r>
      <rPr>
        <sz val="13"/>
        <rFont val="華康粗圓體"/>
        <family val="3"/>
      </rPr>
      <t>表</t>
    </r>
    <r>
      <rPr>
        <sz val="13"/>
        <rFont val="Arial Narrow"/>
        <family val="2"/>
      </rPr>
      <t>11-3</t>
    </r>
    <r>
      <rPr>
        <sz val="13"/>
        <rFont val="華康粗圓體"/>
        <family val="3"/>
      </rPr>
      <t>、宗教社會服務概況（續）</t>
    </r>
  </si>
  <si>
    <r>
      <rPr>
        <sz val="10"/>
        <rFont val="華康粗圓體"/>
        <family val="3"/>
      </rPr>
      <t>單位：所</t>
    </r>
  </si>
  <si>
    <r>
      <rPr>
        <sz val="13"/>
        <rFont val="華康粗圓體"/>
        <family val="3"/>
      </rPr>
      <t>表</t>
    </r>
    <r>
      <rPr>
        <sz val="13"/>
        <rFont val="Arial Narrow"/>
        <family val="2"/>
      </rPr>
      <t>11-3</t>
    </r>
    <r>
      <rPr>
        <sz val="13"/>
        <rFont val="華康粗圓體"/>
        <family val="3"/>
      </rPr>
      <t>、宗教社會服務概況</t>
    </r>
  </si>
  <si>
    <r>
      <rPr>
        <sz val="10"/>
        <rFont val="華康粗圓體"/>
        <family val="3"/>
      </rPr>
      <t>醫療機構</t>
    </r>
  </si>
  <si>
    <r>
      <rPr>
        <sz val="10"/>
        <color indexed="8"/>
        <rFont val="華康粗圓體"/>
        <family val="3"/>
      </rPr>
      <t>資料來源：內政部。</t>
    </r>
  </si>
  <si>
    <r>
      <rPr>
        <sz val="13"/>
        <rFont val="華康粗圓體"/>
        <family val="3"/>
      </rPr>
      <t>表</t>
    </r>
    <r>
      <rPr>
        <sz val="13"/>
        <rFont val="Arial Narrow"/>
        <family val="2"/>
      </rPr>
      <t>11-2</t>
    </r>
    <r>
      <rPr>
        <sz val="13"/>
        <rFont val="華康粗圓體"/>
        <family val="3"/>
      </rPr>
      <t>、宗教教務概況</t>
    </r>
  </si>
  <si>
    <r>
      <rPr>
        <sz val="10"/>
        <rFont val="華康粗圓體"/>
        <family val="3"/>
      </rPr>
      <t>　</t>
    </r>
    <r>
      <rPr>
        <sz val="10"/>
        <rFont val="Arial Narrow"/>
        <family val="2"/>
      </rPr>
      <t xml:space="preserve">  </t>
    </r>
    <r>
      <rPr>
        <sz val="10"/>
        <rFont val="華康粗圓體"/>
        <family val="3"/>
      </rPr>
      <t>伊斯蘭教</t>
    </r>
  </si>
  <si>
    <r>
      <rPr>
        <sz val="9"/>
        <rFont val="華康粗圓體"/>
        <family val="3"/>
      </rPr>
      <t>資料來源：本府民政局。</t>
    </r>
  </si>
  <si>
    <r>
      <rPr>
        <sz val="9"/>
        <rFont val="華康粗圓體"/>
        <family val="3"/>
      </rPr>
      <t>說明：</t>
    </r>
    <r>
      <rPr>
        <sz val="9"/>
        <rFont val="Arial Narrow"/>
        <family val="2"/>
      </rPr>
      <t>1.</t>
    </r>
    <r>
      <rPr>
        <sz val="9"/>
        <rFont val="華康粗圓體"/>
        <family val="3"/>
      </rPr>
      <t>其他寺廟含軒轅教、天帝教、天德聖教、三</t>
    </r>
    <r>
      <rPr>
        <sz val="9"/>
        <rFont val="Arial Narrow"/>
        <family val="2"/>
      </rPr>
      <t>(</t>
    </r>
    <r>
      <rPr>
        <sz val="9"/>
        <rFont val="華康粗圓體"/>
        <family val="3"/>
      </rPr>
      <t>一</t>
    </r>
    <r>
      <rPr>
        <sz val="9"/>
        <rFont val="Arial Narrow"/>
        <family val="2"/>
      </rPr>
      <t>)</t>
    </r>
    <r>
      <rPr>
        <sz val="9"/>
        <rFont val="華康粗圓體"/>
        <family val="3"/>
      </rPr>
      <t>夏教、彌勒大道、宇宙彌勒皇教、先天救教等；</t>
    </r>
  </si>
  <si>
    <r>
      <rPr>
        <sz val="9"/>
        <rFont val="華康粗圓體"/>
        <family val="3"/>
      </rPr>
      <t>　　　</t>
    </r>
    <r>
      <rPr>
        <sz val="9"/>
        <rFont val="Arial Narrow"/>
        <family val="2"/>
      </rPr>
      <t xml:space="preserve">   </t>
    </r>
    <r>
      <rPr>
        <sz val="9"/>
        <rFont val="華康粗圓體"/>
        <family val="3"/>
      </rPr>
      <t>其他教堂含天理教、巴哈尹教、真光教、山達基教會、統一教、摩門教、東正教、猶太教等。</t>
    </r>
  </si>
  <si>
    <r>
      <rPr>
        <sz val="9"/>
        <rFont val="華康粗圓體"/>
        <family val="3"/>
      </rPr>
      <t>　　　</t>
    </r>
    <r>
      <rPr>
        <sz val="9"/>
        <rFont val="Arial Narrow"/>
        <family val="2"/>
      </rPr>
      <t>2.</t>
    </r>
    <r>
      <rPr>
        <sz val="9"/>
        <rFont val="華康粗圓體"/>
        <family val="3"/>
      </rPr>
      <t>信徒人數依各宗教皈依之規定。</t>
    </r>
  </si>
  <si>
    <r>
      <rPr>
        <sz val="9"/>
        <rFont val="華康粗圓體"/>
        <family val="3"/>
      </rPr>
      <t>　　　</t>
    </r>
    <r>
      <rPr>
        <sz val="9"/>
        <rFont val="Arial Narrow"/>
        <family val="2"/>
      </rPr>
      <t>3.</t>
    </r>
    <r>
      <rPr>
        <sz val="9"/>
        <rFont val="華康粗圓體"/>
        <family val="3"/>
      </rPr>
      <t>自</t>
    </r>
    <r>
      <rPr>
        <sz val="9"/>
        <rFont val="Arial Narrow"/>
        <family val="2"/>
      </rPr>
      <t>103</t>
    </r>
    <r>
      <rPr>
        <sz val="9"/>
        <rFont val="華康粗圓體"/>
        <family val="3"/>
      </rPr>
      <t>年起，配合公務統計報表項目變更，本府民政局不再統計教堂之神職人員數及信徒人數。</t>
    </r>
  </si>
  <si>
    <r>
      <rPr>
        <sz val="9"/>
        <color indexed="9"/>
        <rFont val="華康粗圓體"/>
        <family val="3"/>
      </rPr>
      <t>說明：</t>
    </r>
    <r>
      <rPr>
        <sz val="9"/>
        <rFont val="Arial Narrow"/>
        <family val="2"/>
      </rPr>
      <t>4.</t>
    </r>
    <r>
      <rPr>
        <sz val="9"/>
        <rFont val="華康粗圓體"/>
        <family val="3"/>
      </rPr>
      <t>自</t>
    </r>
    <r>
      <rPr>
        <sz val="9"/>
        <rFont val="Arial Narrow"/>
        <family val="2"/>
      </rPr>
      <t>104</t>
    </r>
    <r>
      <rPr>
        <sz val="9"/>
        <rFont val="華康粗圓體"/>
        <family val="3"/>
      </rPr>
      <t>年起，配合英譯名稱，將「回教」更名為「伊斯蘭教」。</t>
    </r>
  </si>
  <si>
    <r>
      <rPr>
        <sz val="9"/>
        <rFont val="華康粗圓體"/>
        <family val="3"/>
      </rPr>
      <t>　　　</t>
    </r>
    <r>
      <rPr>
        <sz val="9"/>
        <rFont val="Arial Narrow"/>
        <family val="2"/>
      </rPr>
      <t>(Mormonism), Eastern Orthodox Church , and Judaism.</t>
    </r>
  </si>
  <si>
    <r>
      <rPr>
        <sz val="9"/>
        <rFont val="華康粗圓體"/>
        <family val="3"/>
      </rPr>
      <t>　　　</t>
    </r>
    <r>
      <rPr>
        <sz val="9"/>
        <rFont val="Arial Narrow"/>
        <family val="2"/>
      </rPr>
      <t>according to the statistical items of offical statistical reported changed.</t>
    </r>
  </si>
  <si>
    <r>
      <rPr>
        <sz val="13"/>
        <rFont val="華康粗圓體"/>
        <family val="3"/>
      </rPr>
      <t>表</t>
    </r>
    <r>
      <rPr>
        <sz val="13"/>
        <rFont val="Arial Narrow"/>
        <family val="2"/>
      </rPr>
      <t>11-1</t>
    </r>
    <r>
      <rPr>
        <sz val="13"/>
        <rFont val="華康粗圓體"/>
        <family val="3"/>
      </rPr>
      <t>、各級人民團體數</t>
    </r>
  </si>
  <si>
    <r>
      <rPr>
        <sz val="10"/>
        <rFont val="華康粗圓體"/>
        <family val="3"/>
      </rPr>
      <t>單位：個</t>
    </r>
  </si>
  <si>
    <r>
      <rPr>
        <sz val="9"/>
        <rFont val="華康粗圓體"/>
        <family val="3"/>
      </rPr>
      <t xml:space="preserve">其他
服務
</t>
    </r>
    <r>
      <rPr>
        <sz val="9"/>
        <rFont val="Arial Narrow"/>
        <family val="2"/>
      </rPr>
      <t>(</t>
    </r>
    <r>
      <rPr>
        <sz val="9"/>
        <rFont val="華康粗圓體"/>
        <family val="3"/>
      </rPr>
      <t>受益人次</t>
    </r>
    <r>
      <rPr>
        <sz val="9"/>
        <rFont val="Arial Narrow"/>
        <family val="2"/>
      </rPr>
      <t>)</t>
    </r>
  </si>
  <si>
    <r>
      <rPr>
        <sz val="9"/>
        <rFont val="華康粗圓體"/>
        <family val="3"/>
      </rPr>
      <t xml:space="preserve">福利服務
或活動
</t>
    </r>
    <r>
      <rPr>
        <sz val="9"/>
        <rFont val="Arial Narrow"/>
        <family val="2"/>
      </rPr>
      <t>(</t>
    </r>
    <r>
      <rPr>
        <sz val="9"/>
        <rFont val="華康粗圓體"/>
        <family val="3"/>
      </rPr>
      <t>受益人次</t>
    </r>
    <r>
      <rPr>
        <sz val="9"/>
        <rFont val="Arial Narrow"/>
        <family val="2"/>
      </rPr>
      <t>)</t>
    </r>
  </si>
  <si>
    <t xml:space="preserve">    Private Infant Care Centers</t>
  </si>
  <si>
    <r>
      <rPr>
        <sz val="10"/>
        <rFont val="華康粗圓體"/>
        <family val="3"/>
      </rPr>
      <t>民國</t>
    </r>
    <r>
      <rPr>
        <sz val="10"/>
        <rFont val="Arial Narrow"/>
        <family val="2"/>
      </rPr>
      <t>106</t>
    </r>
    <r>
      <rPr>
        <sz val="10"/>
        <rFont val="華康粗圓體"/>
        <family val="3"/>
      </rPr>
      <t>年底</t>
    </r>
    <r>
      <rPr>
        <sz val="10"/>
        <rFont val="Arial Narrow"/>
        <family val="2"/>
      </rPr>
      <t xml:space="preserve"> End of 2017</t>
    </r>
  </si>
  <si>
    <r>
      <rPr>
        <sz val="10"/>
        <rFont val="華康粗圓體"/>
        <family val="3"/>
      </rPr>
      <t>民國</t>
    </r>
    <r>
      <rPr>
        <sz val="10"/>
        <rFont val="Arial Narrow"/>
        <family val="2"/>
      </rPr>
      <t>106</t>
    </r>
    <r>
      <rPr>
        <sz val="10"/>
        <rFont val="華康粗圓體"/>
        <family val="3"/>
      </rPr>
      <t xml:space="preserve">年底
</t>
    </r>
    <r>
      <rPr>
        <sz val="10"/>
        <rFont val="Arial Narrow"/>
        <family val="2"/>
      </rPr>
      <t>End of 2017</t>
    </r>
  </si>
  <si>
    <t>End of 2017</t>
  </si>
  <si>
    <r>
      <rPr>
        <sz val="10"/>
        <rFont val="華康粗圓體"/>
        <family val="3"/>
      </rPr>
      <t>民國</t>
    </r>
    <r>
      <rPr>
        <sz val="10"/>
        <rFont val="Arial Narrow"/>
        <family val="2"/>
      </rPr>
      <t>106</t>
    </r>
    <r>
      <rPr>
        <sz val="10"/>
        <rFont val="華康粗圓體"/>
        <family val="3"/>
      </rPr>
      <t>年底</t>
    </r>
  </si>
  <si>
    <r>
      <rPr>
        <sz val="10"/>
        <rFont val="華康粗圓體"/>
        <family val="3"/>
      </rPr>
      <t>民國</t>
    </r>
    <r>
      <rPr>
        <sz val="10"/>
        <rFont val="Arial Narrow"/>
        <family val="2"/>
      </rPr>
      <t>105</t>
    </r>
    <r>
      <rPr>
        <sz val="10"/>
        <rFont val="華康粗圓體"/>
        <family val="3"/>
      </rPr>
      <t>年底</t>
    </r>
  </si>
  <si>
    <r>
      <rPr>
        <sz val="10"/>
        <rFont val="華康粗圓體"/>
        <family val="3"/>
      </rPr>
      <t>民國</t>
    </r>
    <r>
      <rPr>
        <sz val="10"/>
        <rFont val="Arial Narrow"/>
        <family val="2"/>
      </rPr>
      <t xml:space="preserve">106 </t>
    </r>
    <r>
      <rPr>
        <sz val="10"/>
        <rFont val="華康粗圓體"/>
        <family val="3"/>
      </rPr>
      <t>年度</t>
    </r>
    <r>
      <rPr>
        <sz val="10"/>
        <rFont val="Arial Narrow"/>
        <family val="2"/>
      </rPr>
      <t xml:space="preserve"> 2017</t>
    </r>
  </si>
  <si>
    <r>
      <rPr>
        <sz val="10"/>
        <rFont val="華康粗圓體"/>
        <family val="3"/>
      </rPr>
      <t>民國</t>
    </r>
    <r>
      <rPr>
        <sz val="10"/>
        <rFont val="Arial Narrow"/>
        <family val="2"/>
      </rPr>
      <t>106</t>
    </r>
    <r>
      <rPr>
        <sz val="10"/>
        <rFont val="華康粗圓體"/>
        <family val="3"/>
      </rPr>
      <t>年</t>
    </r>
    <r>
      <rPr>
        <sz val="10"/>
        <rFont val="Arial Narrow"/>
        <family val="2"/>
      </rPr>
      <t xml:space="preserve">  2017</t>
    </r>
  </si>
  <si>
    <r>
      <rPr>
        <sz val="10"/>
        <rFont val="華康粗圓體"/>
        <family val="3"/>
      </rPr>
      <t>民國</t>
    </r>
    <r>
      <rPr>
        <sz val="10"/>
        <rFont val="Arial Narrow"/>
        <family val="2"/>
      </rPr>
      <t>106</t>
    </r>
    <r>
      <rPr>
        <sz val="10"/>
        <rFont val="華康粗圓體"/>
        <family val="3"/>
      </rPr>
      <t xml:space="preserve">年
</t>
    </r>
    <r>
      <rPr>
        <sz val="10"/>
        <rFont val="Arial Narrow"/>
        <family val="2"/>
      </rPr>
      <t>2017</t>
    </r>
  </si>
  <si>
    <r>
      <rPr>
        <sz val="10"/>
        <rFont val="華康粗圓體"/>
        <family val="3"/>
      </rPr>
      <t>民國</t>
    </r>
    <r>
      <rPr>
        <sz val="10"/>
        <rFont val="Arial Narrow"/>
        <family val="2"/>
      </rPr>
      <t>106</t>
    </r>
    <r>
      <rPr>
        <sz val="10"/>
        <rFont val="華康粗圓體"/>
        <family val="3"/>
      </rPr>
      <t xml:space="preserve">年
</t>
    </r>
    <r>
      <rPr>
        <sz val="10"/>
        <rFont val="Arial Narrow"/>
        <family val="2"/>
      </rPr>
      <t>2017</t>
    </r>
  </si>
  <si>
    <r>
      <rPr>
        <sz val="10"/>
        <color indexed="8"/>
        <rFont val="華康粗圓體"/>
        <family val="3"/>
      </rPr>
      <t>民國</t>
    </r>
    <r>
      <rPr>
        <sz val="10"/>
        <color indexed="8"/>
        <rFont val="Arial Narrow"/>
        <family val="2"/>
      </rPr>
      <t>106</t>
    </r>
    <r>
      <rPr>
        <sz val="10"/>
        <color indexed="8"/>
        <rFont val="華康粗圓體"/>
        <family val="3"/>
      </rPr>
      <t xml:space="preserve">年
</t>
    </r>
    <r>
      <rPr>
        <sz val="10"/>
        <color indexed="8"/>
        <rFont val="Arial Narrow"/>
        <family val="2"/>
      </rPr>
      <t>2017</t>
    </r>
  </si>
  <si>
    <r>
      <rPr>
        <sz val="10"/>
        <color indexed="8"/>
        <rFont val="華康粗圓體"/>
        <family val="3"/>
      </rPr>
      <t>民國</t>
    </r>
    <r>
      <rPr>
        <sz val="10"/>
        <color indexed="8"/>
        <rFont val="Arial Narrow"/>
        <family val="2"/>
      </rPr>
      <t>106</t>
    </r>
    <r>
      <rPr>
        <sz val="10"/>
        <color indexed="8"/>
        <rFont val="華康粗圓體"/>
        <family val="3"/>
      </rPr>
      <t xml:space="preserve">年
</t>
    </r>
    <r>
      <rPr>
        <sz val="10"/>
        <color indexed="8"/>
        <rFont val="Arial Narrow"/>
        <family val="2"/>
      </rPr>
      <t>2017</t>
    </r>
  </si>
  <si>
    <r>
      <rPr>
        <sz val="10"/>
        <rFont val="華康粗圓體"/>
        <family val="3"/>
      </rPr>
      <t>民國</t>
    </r>
    <r>
      <rPr>
        <sz val="10"/>
        <rFont val="Arial Narrow"/>
        <family val="2"/>
      </rPr>
      <t>106</t>
    </r>
    <r>
      <rPr>
        <sz val="10"/>
        <rFont val="華康粗圓體"/>
        <family val="3"/>
      </rPr>
      <t xml:space="preserve">年
</t>
    </r>
    <r>
      <rPr>
        <sz val="10"/>
        <rFont val="Arial Narrow"/>
        <family val="2"/>
      </rPr>
      <t>2017</t>
    </r>
  </si>
  <si>
    <r>
      <rPr>
        <sz val="10"/>
        <rFont val="華康粗圓體"/>
        <family val="3"/>
      </rPr>
      <t>民國</t>
    </r>
    <r>
      <rPr>
        <sz val="10"/>
        <rFont val="Arial Narrow"/>
        <family val="2"/>
      </rPr>
      <t>106</t>
    </r>
    <r>
      <rPr>
        <sz val="10"/>
        <rFont val="華康粗圓體"/>
        <family val="3"/>
      </rPr>
      <t xml:space="preserve">年底
</t>
    </r>
    <r>
      <rPr>
        <sz val="10"/>
        <rFont val="Arial Narrow"/>
        <family val="2"/>
      </rPr>
      <t>End of 2017</t>
    </r>
  </si>
  <si>
    <r>
      <rPr>
        <sz val="10"/>
        <rFont val="華康粗圓體"/>
        <family val="3"/>
      </rPr>
      <t>民國</t>
    </r>
    <r>
      <rPr>
        <sz val="10"/>
        <rFont val="Arial Narrow"/>
        <family val="2"/>
      </rPr>
      <t>106</t>
    </r>
    <r>
      <rPr>
        <sz val="10"/>
        <rFont val="華康粗圓體"/>
        <family val="3"/>
      </rPr>
      <t>年</t>
    </r>
    <r>
      <rPr>
        <sz val="10"/>
        <rFont val="Arial Narrow"/>
        <family val="2"/>
      </rPr>
      <t xml:space="preserve"> 2017</t>
    </r>
  </si>
  <si>
    <r>
      <rPr>
        <sz val="10"/>
        <rFont val="華康粗圓體"/>
        <family val="3"/>
      </rPr>
      <t>民國</t>
    </r>
    <r>
      <rPr>
        <sz val="10"/>
        <rFont val="Arial Narrow"/>
        <family val="2"/>
      </rPr>
      <t>106</t>
    </r>
    <r>
      <rPr>
        <sz val="10"/>
        <rFont val="華康粗圓體"/>
        <family val="3"/>
      </rPr>
      <t>年底</t>
    </r>
    <r>
      <rPr>
        <sz val="10"/>
        <rFont val="Arial Narrow"/>
        <family val="2"/>
      </rPr>
      <t xml:space="preserve"> End of 2017</t>
    </r>
  </si>
  <si>
    <t xml:space="preserve">     of Social Welfaret,Taoyuan</t>
  </si>
  <si>
    <r>
      <rPr>
        <sz val="10"/>
        <rFont val="BatangChe"/>
        <family val="3"/>
      </rPr>
      <t>ⓡ</t>
    </r>
    <r>
      <rPr>
        <sz val="10"/>
        <rFont val="Arial Narrow"/>
        <family val="2"/>
      </rPr>
      <t>461</t>
    </r>
  </si>
  <si>
    <r>
      <rPr>
        <sz val="10"/>
        <rFont val="BatangChe"/>
        <family val="3"/>
      </rPr>
      <t>ⓡ</t>
    </r>
    <r>
      <rPr>
        <sz val="10"/>
        <rFont val="Arial Narrow"/>
        <family val="2"/>
      </rPr>
      <t>24</t>
    </r>
  </si>
  <si>
    <r>
      <rPr>
        <sz val="10"/>
        <rFont val="BatangChe"/>
        <family val="3"/>
      </rPr>
      <t>ⓡ</t>
    </r>
    <r>
      <rPr>
        <sz val="10"/>
        <rFont val="Arial Narrow"/>
        <family val="2"/>
      </rPr>
      <t>22</t>
    </r>
  </si>
  <si>
    <r>
      <rPr>
        <sz val="10"/>
        <rFont val="BatangChe"/>
        <family val="3"/>
      </rPr>
      <t>ⓡ</t>
    </r>
    <r>
      <rPr>
        <sz val="10"/>
        <rFont val="Arial Narrow"/>
        <family val="2"/>
      </rPr>
      <t>560,795</t>
    </r>
  </si>
  <si>
    <r>
      <rPr>
        <sz val="10"/>
        <rFont val="BatangChe"/>
        <family val="3"/>
      </rPr>
      <t>ⓡ</t>
    </r>
    <r>
      <rPr>
        <sz val="10"/>
        <rFont val="Arial Narrow"/>
        <family val="2"/>
      </rPr>
      <t>188,361</t>
    </r>
  </si>
  <si>
    <t>Women 's organization
skills training</t>
  </si>
  <si>
    <t>No. of Institutions of
Welfare Service Centers
(End of Year)</t>
  </si>
  <si>
    <t>No. of Institutions of New Resident Family Service Centers, End of Year
(Place)</t>
  </si>
  <si>
    <t>Welfare and Interests
Activities</t>
  </si>
  <si>
    <t>Women group leader
training</t>
  </si>
  <si>
    <t>Counselling
of Law
(Person-times)</t>
  </si>
  <si>
    <r>
      <rPr>
        <sz val="9"/>
        <rFont val="華康粗圓體"/>
        <family val="3"/>
      </rPr>
      <t xml:space="preserve">參加人次
</t>
    </r>
    <r>
      <rPr>
        <sz val="9"/>
        <rFont val="Arial Narrow"/>
        <family val="2"/>
      </rPr>
      <t>(</t>
    </r>
    <r>
      <rPr>
        <sz val="9"/>
        <rFont val="華康粗圓體"/>
        <family val="3"/>
      </rPr>
      <t>人次</t>
    </r>
    <r>
      <rPr>
        <sz val="9"/>
        <rFont val="Arial Narrow"/>
        <family val="2"/>
      </rPr>
      <t>)</t>
    </r>
  </si>
  <si>
    <r>
      <rPr>
        <sz val="9"/>
        <rFont val="華康粗圓體"/>
        <family val="3"/>
      </rPr>
      <t xml:space="preserve">班數
</t>
    </r>
    <r>
      <rPr>
        <sz val="9"/>
        <rFont val="Arial Narrow"/>
        <family val="2"/>
      </rPr>
      <t>(</t>
    </r>
    <r>
      <rPr>
        <sz val="9"/>
        <rFont val="華康粗圓體"/>
        <family val="3"/>
      </rPr>
      <t>班</t>
    </r>
    <r>
      <rPr>
        <sz val="9"/>
        <rFont val="Arial Narrow"/>
        <family val="2"/>
      </rPr>
      <t>)</t>
    </r>
  </si>
  <si>
    <r>
      <rPr>
        <sz val="9"/>
        <rFont val="華康粗圓體"/>
        <family val="3"/>
      </rPr>
      <t>辦理次數</t>
    </r>
    <r>
      <rPr>
        <sz val="9"/>
        <rFont val="Arial Narrow"/>
        <family val="2"/>
      </rPr>
      <t>(</t>
    </r>
    <r>
      <rPr>
        <sz val="9"/>
        <rFont val="華康粗圓體"/>
        <family val="3"/>
      </rPr>
      <t>次</t>
    </r>
    <r>
      <rPr>
        <sz val="9"/>
        <rFont val="Arial Narrow"/>
        <family val="2"/>
      </rPr>
      <t>)</t>
    </r>
  </si>
  <si>
    <r>
      <rPr>
        <sz val="9"/>
        <rFont val="華康粗圓體"/>
        <family val="3"/>
      </rPr>
      <t>參加人次</t>
    </r>
    <r>
      <rPr>
        <sz val="9"/>
        <rFont val="Arial Narrow"/>
        <family val="2"/>
      </rPr>
      <t>(</t>
    </r>
    <r>
      <rPr>
        <sz val="9"/>
        <rFont val="華康粗圓體"/>
        <family val="3"/>
      </rPr>
      <t>人次</t>
    </r>
    <r>
      <rPr>
        <sz val="9"/>
        <rFont val="Arial Narrow"/>
        <family val="2"/>
      </rPr>
      <t>)</t>
    </r>
  </si>
  <si>
    <t xml:space="preserve">Note : 1.Since 2013 the data of counselling of law and consulting assistance include the data from Department of Legal Affairs, </t>
  </si>
  <si>
    <t xml:space="preserve">              Taoyuan City Gov and Legal Clinic Center of each district.</t>
  </si>
  <si>
    <t xml:space="preserve">          2.Since 2014 the number of institutions of welfare service centers includes family service centers of each district. </t>
  </si>
  <si>
    <t xml:space="preserve">          3.Since 2016 Foreign Spouse Family renamed New Resident Family.</t>
  </si>
  <si>
    <t>No. of Times
(Times)</t>
  </si>
  <si>
    <r>
      <rPr>
        <sz val="13"/>
        <rFont val="華康粗圓體"/>
        <family val="3"/>
      </rPr>
      <t>表</t>
    </r>
    <r>
      <rPr>
        <sz val="13"/>
        <rFont val="Arial Narrow"/>
        <family val="2"/>
      </rPr>
      <t>11-18</t>
    </r>
    <r>
      <rPr>
        <sz val="13"/>
        <rFont val="華康粗圓體"/>
        <family val="3"/>
      </rPr>
      <t>、婦女福利服務概況</t>
    </r>
  </si>
  <si>
    <t>Consulting  Service
(Person-times)</t>
  </si>
  <si>
    <r>
      <rPr>
        <sz val="10"/>
        <rFont val="華康粗圓體"/>
        <family val="3"/>
      </rPr>
      <t>說　　明：</t>
    </r>
    <r>
      <rPr>
        <sz val="10"/>
        <rFont val="Arial Narrow"/>
        <family val="2"/>
      </rPr>
      <t>101</t>
    </r>
    <r>
      <rPr>
        <sz val="10"/>
        <rFont val="華康粗圓體"/>
        <family val="3"/>
      </rPr>
      <t>年度起報表格式修訂，故本表格式異動。</t>
    </r>
  </si>
  <si>
    <r>
      <rPr>
        <sz val="13"/>
        <rFont val="華康粗圓體"/>
        <family val="3"/>
      </rPr>
      <t>表</t>
    </r>
    <r>
      <rPr>
        <sz val="13"/>
        <rFont val="Arial Narrow"/>
        <family val="2"/>
      </rPr>
      <t>11-18</t>
    </r>
    <r>
      <rPr>
        <sz val="13"/>
        <rFont val="華康粗圓體"/>
        <family val="3"/>
      </rPr>
      <t>、婦女福利服務概況（續）</t>
    </r>
  </si>
  <si>
    <r>
      <t xml:space="preserve">
</t>
    </r>
    <r>
      <rPr>
        <sz val="10"/>
        <rFont val="華康粗圓體"/>
        <family val="3"/>
      </rPr>
      <t>年別</t>
    </r>
  </si>
  <si>
    <r>
      <rPr>
        <sz val="10"/>
        <rFont val="華康粗圓體"/>
        <family val="3"/>
      </rPr>
      <t xml:space="preserve">電話訪問
</t>
    </r>
    <r>
      <rPr>
        <sz val="10"/>
        <rFont val="Arial Narrow"/>
        <family val="2"/>
      </rPr>
      <t>(</t>
    </r>
    <r>
      <rPr>
        <sz val="10"/>
        <rFont val="華康粗圓體"/>
        <family val="3"/>
      </rPr>
      <t>人次</t>
    </r>
    <r>
      <rPr>
        <sz val="10"/>
        <rFont val="Arial Narrow"/>
        <family val="2"/>
      </rPr>
      <t>)</t>
    </r>
  </si>
  <si>
    <r>
      <rPr>
        <sz val="10"/>
        <rFont val="華康粗圓體"/>
        <family val="3"/>
      </rPr>
      <t xml:space="preserve">個案管理
輔導服務
</t>
    </r>
    <r>
      <rPr>
        <sz val="10"/>
        <rFont val="Arial Narrow"/>
        <family val="2"/>
      </rPr>
      <t>(</t>
    </r>
    <r>
      <rPr>
        <sz val="10"/>
        <rFont val="華康粗圓體"/>
        <family val="3"/>
      </rPr>
      <t>人次</t>
    </r>
    <r>
      <rPr>
        <sz val="10"/>
        <rFont val="Arial Narrow"/>
        <family val="2"/>
      </rPr>
      <t>)</t>
    </r>
  </si>
  <si>
    <r>
      <rPr>
        <sz val="10"/>
        <rFont val="華康粗圓體"/>
        <family val="3"/>
      </rPr>
      <t xml:space="preserve">班數
</t>
    </r>
    <r>
      <rPr>
        <sz val="10"/>
        <rFont val="Arial Narrow"/>
        <family val="2"/>
      </rPr>
      <t>(</t>
    </r>
    <r>
      <rPr>
        <sz val="10"/>
        <rFont val="華康粗圓體"/>
        <family val="3"/>
      </rPr>
      <t>班</t>
    </r>
    <r>
      <rPr>
        <sz val="10"/>
        <rFont val="Arial Narrow"/>
        <family val="2"/>
      </rPr>
      <t>)</t>
    </r>
  </si>
  <si>
    <r>
      <rPr>
        <sz val="10"/>
        <rFont val="華康粗圓體"/>
        <family val="3"/>
      </rPr>
      <t xml:space="preserve">辦理次數
</t>
    </r>
    <r>
      <rPr>
        <sz val="10"/>
        <rFont val="Arial Narrow"/>
        <family val="2"/>
      </rPr>
      <t>(</t>
    </r>
    <r>
      <rPr>
        <sz val="10"/>
        <rFont val="華康粗圓體"/>
        <family val="3"/>
      </rPr>
      <t>次</t>
    </r>
    <r>
      <rPr>
        <sz val="10"/>
        <rFont val="Arial Narrow"/>
        <family val="2"/>
      </rPr>
      <t>)</t>
    </r>
  </si>
  <si>
    <t>New Resident Family Welfare Services</t>
  </si>
  <si>
    <r>
      <rPr>
        <sz val="10"/>
        <rFont val="華康粗圓體"/>
        <family val="3"/>
      </rPr>
      <t xml:space="preserve">家庭訪視
</t>
    </r>
    <r>
      <rPr>
        <sz val="10"/>
        <rFont val="Arial Narrow"/>
        <family val="2"/>
      </rPr>
      <t>(</t>
    </r>
    <r>
      <rPr>
        <sz val="10"/>
        <rFont val="華康粗圓體"/>
        <family val="3"/>
      </rPr>
      <t>人次</t>
    </r>
    <r>
      <rPr>
        <sz val="10"/>
        <rFont val="Arial Narrow"/>
        <family val="2"/>
      </rPr>
      <t>)</t>
    </r>
  </si>
  <si>
    <t>New Resident Individual
Support Services</t>
  </si>
  <si>
    <t>New Resident Family 
Support Services</t>
  </si>
  <si>
    <r>
      <t xml:space="preserve">          </t>
    </r>
    <r>
      <rPr>
        <sz val="10"/>
        <rFont val="華康粗圓體"/>
        <family val="3"/>
      </rPr>
      <t>附屬福利機構</t>
    </r>
    <r>
      <rPr>
        <sz val="10"/>
        <rFont val="Arial Narrow"/>
        <family val="2"/>
      </rPr>
      <t xml:space="preserve">  </t>
    </r>
  </si>
  <si>
    <r>
      <t xml:space="preserve">    </t>
    </r>
    <r>
      <rPr>
        <sz val="10"/>
        <rFont val="華康粗圓體"/>
        <family val="3"/>
      </rPr>
      <t>接受本府社會局委託服務單位</t>
    </r>
  </si>
  <si>
    <t xml:space="preserve">     Units Authorized by Department </t>
  </si>
  <si>
    <r>
      <rPr>
        <sz val="10"/>
        <rFont val="華康粗圓體"/>
        <family val="3"/>
      </rPr>
      <t>志願服務</t>
    </r>
    <r>
      <rPr>
        <sz val="10"/>
        <rFont val="Arial Narrow"/>
        <family val="2"/>
      </rPr>
      <t xml:space="preserve"> Volunteer Service</t>
    </r>
  </si>
  <si>
    <r>
      <rPr>
        <sz val="9.5"/>
        <rFont val="華康粗圓體"/>
        <family val="3"/>
      </rPr>
      <t>社會工作師</t>
    </r>
  </si>
  <si>
    <r>
      <t xml:space="preserve">         </t>
    </r>
    <r>
      <rPr>
        <sz val="10"/>
        <rFont val="華康粗圓體"/>
        <family val="3"/>
      </rPr>
      <t>附屬福利機構</t>
    </r>
    <r>
      <rPr>
        <sz val="10"/>
        <rFont val="Arial Narrow"/>
        <family val="2"/>
      </rPr>
      <t xml:space="preserve">    </t>
    </r>
  </si>
  <si>
    <r>
      <t xml:space="preserve">    </t>
    </r>
    <r>
      <rPr>
        <sz val="10"/>
        <rFont val="華康粗圓體"/>
        <family val="3"/>
      </rPr>
      <t>接受本府社會局委託服務單位</t>
    </r>
  </si>
  <si>
    <r>
      <rPr>
        <sz val="10"/>
        <rFont val="華康粗圓體"/>
        <family val="3"/>
      </rPr>
      <t>社區發展</t>
    </r>
    <r>
      <rPr>
        <sz val="10"/>
        <rFont val="Arial Narrow"/>
        <family val="2"/>
      </rPr>
      <t xml:space="preserve"> Community Development</t>
    </r>
  </si>
  <si>
    <r>
      <t xml:space="preserve">         </t>
    </r>
    <r>
      <rPr>
        <sz val="10"/>
        <rFont val="華康粗圓體"/>
        <family val="3"/>
      </rPr>
      <t>附屬福利機構</t>
    </r>
    <r>
      <rPr>
        <sz val="10"/>
        <rFont val="Arial Narrow"/>
        <family val="2"/>
      </rPr>
      <t xml:space="preserve">  </t>
    </r>
  </si>
  <si>
    <r>
      <t xml:space="preserve">     </t>
    </r>
    <r>
      <rPr>
        <sz val="10"/>
        <rFont val="華康粗圓體"/>
        <family val="3"/>
      </rPr>
      <t>接受本府社會局委託服務單位</t>
    </r>
  </si>
  <si>
    <r>
      <rPr>
        <sz val="13"/>
        <rFont val="華康粗圓體"/>
        <family val="3"/>
      </rPr>
      <t>表</t>
    </r>
    <r>
      <rPr>
        <sz val="13"/>
        <rFont val="Arial Narrow"/>
        <family val="2"/>
      </rPr>
      <t>11-20</t>
    </r>
    <r>
      <rPr>
        <sz val="13"/>
        <rFont val="華康粗圓體"/>
        <family val="3"/>
      </rPr>
      <t>、社會福利工作人員數</t>
    </r>
  </si>
  <si>
    <r>
      <rPr>
        <sz val="10"/>
        <rFont val="華康粗圓體"/>
        <family val="3"/>
      </rPr>
      <t>兒童及少年福利</t>
    </r>
    <r>
      <rPr>
        <sz val="10"/>
        <rFont val="Arial Narrow"/>
        <family val="2"/>
      </rPr>
      <t xml:space="preserve"> Children &amp; Youths Welfare</t>
    </r>
  </si>
  <si>
    <r>
      <rPr>
        <sz val="10"/>
        <rFont val="華康粗圓體"/>
        <family val="3"/>
      </rPr>
      <t>說明：長青學苑辦理成果之開班參加人數自</t>
    </r>
    <r>
      <rPr>
        <sz val="10"/>
        <rFont val="Arial Narrow"/>
        <family val="2"/>
      </rPr>
      <t>102</t>
    </r>
    <r>
      <rPr>
        <sz val="10"/>
        <rFont val="華康粗圓體"/>
        <family val="3"/>
      </rPr>
      <t>年起納入各區辦理部分。</t>
    </r>
  </si>
  <si>
    <t xml:space="preserve">Note : The number of attended persons on achievements in Evergreen Academy  includes the participants who attend the activities </t>
  </si>
  <si>
    <r>
      <rPr>
        <sz val="9.5"/>
        <rFont val="華康粗圓體"/>
        <family val="3"/>
      </rPr>
      <t>循環、造血、免疫及呼吸系統構造及其功能</t>
    </r>
  </si>
  <si>
    <r>
      <rPr>
        <sz val="9.5"/>
        <rFont val="華康粗圓體"/>
        <family val="3"/>
      </rPr>
      <t>消化、新陳代謝與內分泌系統相關構造及其功能</t>
    </r>
  </si>
  <si>
    <r>
      <rPr>
        <sz val="9.5"/>
        <rFont val="華康粗圓體"/>
        <family val="3"/>
      </rPr>
      <t>泌尿與生殖系統
相關構造及
其功能</t>
    </r>
  </si>
  <si>
    <r>
      <t xml:space="preserve">                      2.</t>
    </r>
    <r>
      <rPr>
        <sz val="10"/>
        <rFont val="華康粗圓體"/>
        <family val="3"/>
      </rPr>
      <t>自</t>
    </r>
    <r>
      <rPr>
        <sz val="10"/>
        <rFont val="Arial Narrow"/>
        <family val="2"/>
      </rPr>
      <t>104</t>
    </r>
    <r>
      <rPr>
        <sz val="10"/>
        <rFont val="華康粗圓體"/>
        <family val="3"/>
      </rPr>
      <t>年起，本表新增「公設民營機構」及「</t>
    </r>
    <r>
      <rPr>
        <sz val="10"/>
        <rFont val="Arial Narrow"/>
        <family val="2"/>
      </rPr>
      <t xml:space="preserve"> </t>
    </r>
    <r>
      <rPr>
        <sz val="10"/>
        <rFont val="華康粗圓體"/>
        <family val="3"/>
      </rPr>
      <t>接受本府社會局委託服務單位」人員數。</t>
    </r>
    <r>
      <rPr>
        <sz val="10"/>
        <rFont val="Arial Narrow"/>
        <family val="2"/>
      </rPr>
      <t xml:space="preserve"> </t>
    </r>
  </si>
  <si>
    <t>New Resident Social Support Services</t>
  </si>
  <si>
    <t>New Resident Ecomomic Support Services</t>
  </si>
  <si>
    <t>New Resident Information Support Services</t>
  </si>
  <si>
    <t xml:space="preserve">           2.Data of government-owned,contractor-operated organizations and units authorized by department of social welfaret,taoyuan </t>
  </si>
  <si>
    <t xml:space="preserve">             were included in the form since 2015.</t>
  </si>
  <si>
    <t>Gender Teacher
Training Course</t>
  </si>
  <si>
    <r>
      <rPr>
        <sz val="10"/>
        <rFont val="華康粗圓體"/>
        <family val="3"/>
      </rPr>
      <t>說　　明：</t>
    </r>
    <r>
      <rPr>
        <sz val="10"/>
        <rFont val="Arial Narrow"/>
        <family val="2"/>
      </rPr>
      <t>1.98</t>
    </r>
    <r>
      <rPr>
        <sz val="10"/>
        <rFont val="華康粗圓體"/>
        <family val="3"/>
      </rPr>
      <t>年度起報表格式修訂，故本表格式異動。</t>
    </r>
  </si>
  <si>
    <t xml:space="preserve">Note : 1.The format of this table has changed because the format of the statement was modified in 2009. </t>
  </si>
  <si>
    <t>Aborigines</t>
  </si>
  <si>
    <t>No.of
Beneficiary</t>
  </si>
  <si>
    <t xml:space="preserve">People </t>
  </si>
  <si>
    <r>
      <rPr>
        <sz val="10"/>
        <rFont val="華康粗圓體"/>
        <family val="3"/>
      </rPr>
      <t>民眾</t>
    </r>
    <r>
      <rPr>
        <sz val="10"/>
        <rFont val="Arial Narrow"/>
        <family val="2"/>
      </rPr>
      <t xml:space="preserve"> </t>
    </r>
  </si>
  <si>
    <t>People</t>
  </si>
  <si>
    <t xml:space="preserve">Veteran Servicemen
</t>
  </si>
  <si>
    <t>Source : Department of Social Welfare and Department of Indigenous Affairs, Taoyuan City Gov.</t>
  </si>
  <si>
    <t>No. of Institutions of Foreign Spouse Family
 Service Centers, End of Year
(Place)</t>
  </si>
  <si>
    <t>No. of Institutions of Foreign Spouse Family Service Centers, End of Year
(Place)</t>
  </si>
  <si>
    <t>Foreign Spouse Family Welfare Services</t>
  </si>
  <si>
    <t>Foreign Spouse Individual Support Services</t>
  </si>
  <si>
    <t>Foreign Spouse Family
Support Services</t>
  </si>
  <si>
    <t>Foreign Spouse Welfare Propaganda</t>
  </si>
  <si>
    <t>Foreign Spouse Adapting Classes
(Include Advanced)</t>
  </si>
  <si>
    <t>Foreign Spouse Individual
Support Services</t>
  </si>
  <si>
    <t>Foreign Spouse Family 
Support Services</t>
  </si>
  <si>
    <t>Foreign Spouse Multiculturalism Propaganda</t>
  </si>
  <si>
    <t>Foreign Spouse Adapting Classes</t>
  </si>
  <si>
    <t>Note : Since 2015 "Number of Outpatient" and "Assistance for Outpatient Services" included the data of assistance for homeless</t>
  </si>
  <si>
    <r>
      <rPr>
        <sz val="10"/>
        <rFont val="華康粗圓體"/>
        <family val="3"/>
      </rPr>
      <t>說明：自</t>
    </r>
    <r>
      <rPr>
        <sz val="10"/>
        <rFont val="Arial Narrow"/>
        <family val="2"/>
      </rPr>
      <t>104</t>
    </r>
    <r>
      <rPr>
        <sz val="10"/>
        <rFont val="華康粗圓體"/>
        <family val="3"/>
      </rPr>
      <t>年起，門診人次與門診醫療補助含救助遊民及路倒民眾之資料，並自</t>
    </r>
    <r>
      <rPr>
        <sz val="10"/>
        <rFont val="Arial Narrow"/>
        <family val="2"/>
      </rPr>
      <t>105</t>
    </r>
    <r>
      <rPr>
        <sz val="10"/>
        <rFont val="華康粗圓體"/>
        <family val="3"/>
      </rPr>
      <t>年起將其補助金額改統計至</t>
    </r>
  </si>
  <si>
    <t xml:space="preserve">          4.The format of this table has changed because the format of the statement was modified in 2014 and 2017.</t>
  </si>
  <si>
    <r>
      <rPr>
        <sz val="10"/>
        <rFont val="華康粗圓體"/>
        <family val="3"/>
      </rPr>
      <t>自由職業
團　　體</t>
    </r>
  </si>
  <si>
    <r>
      <rPr>
        <sz val="10"/>
        <rFont val="華康粗圓體"/>
        <family val="3"/>
      </rPr>
      <t>經濟業務
團　　體</t>
    </r>
  </si>
  <si>
    <r>
      <rPr>
        <sz val="10"/>
        <rFont val="華康粗圓體"/>
        <family val="3"/>
      </rPr>
      <t>資料來源：行政院農業委員會、勞動部及本府社會局。</t>
    </r>
  </si>
  <si>
    <r>
      <rPr>
        <sz val="13"/>
        <rFont val="華康粗圓體"/>
        <family val="3"/>
      </rPr>
      <t>表</t>
    </r>
    <r>
      <rPr>
        <sz val="13"/>
        <rFont val="Arial Narrow"/>
        <family val="2"/>
      </rPr>
      <t>11-22</t>
    </r>
    <r>
      <rPr>
        <sz val="13"/>
        <rFont val="華康粗圓體"/>
        <family val="3"/>
      </rPr>
      <t>、家庭暴力通報案件（續）</t>
    </r>
  </si>
  <si>
    <r>
      <rPr>
        <sz val="10"/>
        <rFont val="華康粗圓體"/>
        <family val="3"/>
      </rPr>
      <t>單位：件</t>
    </r>
  </si>
  <si>
    <r>
      <rPr>
        <sz val="10"/>
        <rFont val="華康粗圓體"/>
        <family val="3"/>
      </rPr>
      <t>年別</t>
    </r>
  </si>
  <si>
    <r>
      <rPr>
        <sz val="10"/>
        <rFont val="華康粗圓體"/>
        <family val="3"/>
      </rPr>
      <t>通報件數</t>
    </r>
  </si>
  <si>
    <r>
      <rPr>
        <sz val="10"/>
        <rFont val="華康粗圓體"/>
        <family val="3"/>
      </rPr>
      <t>被害人</t>
    </r>
    <r>
      <rPr>
        <sz val="10"/>
        <rFont val="Arial Narrow"/>
        <family val="2"/>
      </rPr>
      <t xml:space="preserve"> (</t>
    </r>
    <r>
      <rPr>
        <sz val="10"/>
        <rFont val="華康粗圓體"/>
        <family val="3"/>
      </rPr>
      <t>人</t>
    </r>
    <r>
      <rPr>
        <sz val="10"/>
        <rFont val="Arial Narrow"/>
        <family val="2"/>
      </rPr>
      <t>)</t>
    </r>
  </si>
  <si>
    <r>
      <rPr>
        <sz val="10"/>
        <rFont val="華康粗圓體"/>
        <family val="3"/>
      </rPr>
      <t>被害及加害者兩造關係別</t>
    </r>
  </si>
  <si>
    <r>
      <rPr>
        <sz val="10"/>
        <rFont val="華康粗圓體"/>
        <family val="3"/>
      </rPr>
      <t>性別</t>
    </r>
  </si>
  <si>
    <r>
      <rPr>
        <sz val="10"/>
        <rFont val="華康粗圓體"/>
        <family val="3"/>
      </rPr>
      <t>計</t>
    </r>
  </si>
  <si>
    <r>
      <rPr>
        <sz val="10"/>
        <rFont val="華康粗圓體"/>
        <family val="3"/>
      </rPr>
      <t>直系血親</t>
    </r>
  </si>
  <si>
    <r>
      <rPr>
        <sz val="10"/>
        <rFont val="華康粗圓體"/>
        <family val="3"/>
      </rPr>
      <t>直系姻親</t>
    </r>
  </si>
  <si>
    <r>
      <rPr>
        <sz val="10"/>
        <rFont val="華康粗圓體"/>
        <family val="3"/>
      </rPr>
      <t>同居關係</t>
    </r>
  </si>
  <si>
    <r>
      <rPr>
        <sz val="10"/>
        <rFont val="華康粗圓體"/>
        <family val="3"/>
      </rPr>
      <t>四等親內
旁系血親</t>
    </r>
  </si>
  <si>
    <r>
      <rPr>
        <sz val="10"/>
        <rFont val="華康粗圓體"/>
        <family val="3"/>
      </rPr>
      <t>四等親內
旁系姻親</t>
    </r>
  </si>
  <si>
    <r>
      <rPr>
        <sz val="10"/>
        <rFont val="華康粗圓體"/>
        <family val="3"/>
      </rPr>
      <t>家長家屬</t>
    </r>
  </si>
  <si>
    <r>
      <rPr>
        <sz val="10"/>
        <rFont val="華康粗圓體"/>
        <family val="3"/>
      </rPr>
      <t>社會工作師</t>
    </r>
  </si>
  <si>
    <r>
      <rPr>
        <sz val="10"/>
        <rFont val="華康粗圓體"/>
        <family val="3"/>
      </rPr>
      <t>外籍配偶家庭福利服務</t>
    </r>
  </si>
  <si>
    <r>
      <rPr>
        <sz val="10"/>
        <rFont val="華康粗圓體"/>
        <family val="3"/>
      </rPr>
      <t>外籍配偶個人支持性服務</t>
    </r>
  </si>
  <si>
    <r>
      <rPr>
        <sz val="10"/>
        <rFont val="華康粗圓體"/>
        <family val="3"/>
      </rPr>
      <t>外籍配偶家庭支持性服務</t>
    </r>
  </si>
  <si>
    <r>
      <rPr>
        <sz val="10"/>
        <rFont val="華康粗圓體"/>
        <family val="3"/>
      </rPr>
      <t>外籍配偶福利宣傳活動</t>
    </r>
  </si>
  <si>
    <r>
      <rPr>
        <sz val="10"/>
        <rFont val="華康粗圓體"/>
        <family val="3"/>
      </rPr>
      <t>外籍配偶生活適應輔導班</t>
    </r>
  </si>
  <si>
    <r>
      <rPr>
        <sz val="9.5"/>
        <rFont val="華康粗圓體"/>
        <family val="3"/>
      </rPr>
      <t>外籍配偶多元文化融合活動</t>
    </r>
  </si>
  <si>
    <r>
      <rPr>
        <sz val="10"/>
        <rFont val="華康粗圓體"/>
        <family val="3"/>
      </rPr>
      <t>新住民家庭福利服務</t>
    </r>
  </si>
  <si>
    <r>
      <rPr>
        <sz val="10"/>
        <rFont val="華康粗圓體"/>
        <family val="3"/>
      </rPr>
      <t>新住民個人支持性服務</t>
    </r>
  </si>
  <si>
    <r>
      <rPr>
        <sz val="10"/>
        <rFont val="華康粗圓體"/>
        <family val="3"/>
      </rPr>
      <t>新住民家庭支持性服務</t>
    </r>
  </si>
  <si>
    <r>
      <rPr>
        <sz val="10"/>
        <rFont val="華康粗圓體"/>
        <family val="3"/>
      </rPr>
      <t>新住民社會支持活動</t>
    </r>
  </si>
  <si>
    <r>
      <rPr>
        <sz val="10"/>
        <rFont val="華康粗圓體"/>
        <family val="3"/>
      </rPr>
      <t>新住民資訊支持服務</t>
    </r>
  </si>
  <si>
    <r>
      <rPr>
        <sz val="10"/>
        <rFont val="華康粗圓體"/>
        <family val="3"/>
      </rPr>
      <t>新住民經濟支持服務</t>
    </r>
  </si>
  <si>
    <r>
      <rPr>
        <sz val="9"/>
        <rFont val="華康粗圓體"/>
        <family val="3"/>
      </rPr>
      <t>婦女福利與
婦女權益活動</t>
    </r>
  </si>
  <si>
    <r>
      <rPr>
        <b/>
        <sz val="11"/>
        <color indexed="10"/>
        <rFont val="華康粗圓體"/>
        <family val="3"/>
      </rPr>
      <t>請教育局終身學習科提供資料</t>
    </r>
  </si>
  <si>
    <r>
      <rPr>
        <b/>
        <sz val="14"/>
        <color indexed="10"/>
        <rFont val="華康粗圓體"/>
        <family val="3"/>
      </rPr>
      <t>問題</t>
    </r>
    <r>
      <rPr>
        <b/>
        <sz val="14"/>
        <color indexed="10"/>
        <rFont val="Arial Narrow"/>
        <family val="2"/>
      </rPr>
      <t>:</t>
    </r>
    <r>
      <rPr>
        <b/>
        <sz val="14"/>
        <color indexed="10"/>
        <rFont val="華康粗圓體"/>
        <family val="3"/>
      </rPr>
      <t>報表與系統資料不一致</t>
    </r>
    <r>
      <rPr>
        <b/>
        <sz val="14"/>
        <color indexed="10"/>
        <rFont val="Arial Narrow"/>
        <family val="2"/>
      </rPr>
      <t>(5/14</t>
    </r>
    <r>
      <rPr>
        <b/>
        <sz val="14"/>
        <color indexed="10"/>
        <rFont val="華康粗圓體"/>
        <family val="3"/>
      </rPr>
      <t>發現</t>
    </r>
    <r>
      <rPr>
        <b/>
        <sz val="14"/>
        <color indexed="10"/>
        <rFont val="Arial Narrow"/>
        <family val="2"/>
      </rPr>
      <t>)</t>
    </r>
  </si>
  <si>
    <r>
      <rPr>
        <sz val="10"/>
        <color indexed="9"/>
        <rFont val="Arial Narrow"/>
        <family val="2"/>
      </rPr>
      <t xml:space="preserve">Note : </t>
    </r>
    <r>
      <rPr>
        <sz val="10"/>
        <rFont val="Arial Narrow"/>
        <family val="2"/>
      </rPr>
      <t xml:space="preserve">held by district hall since 2013.            </t>
    </r>
  </si>
  <si>
    <r>
      <rPr>
        <sz val="10"/>
        <rFont val="華康粗圓體"/>
        <family val="3"/>
      </rPr>
      <t>民眾</t>
    </r>
    <r>
      <rPr>
        <sz val="10"/>
        <rFont val="Arial Narrow"/>
        <family val="2"/>
      </rPr>
      <t xml:space="preserve"> </t>
    </r>
  </si>
  <si>
    <r>
      <rPr>
        <sz val="10"/>
        <rFont val="華康粗圓體"/>
        <family val="3"/>
      </rPr>
      <t>榮民</t>
    </r>
  </si>
  <si>
    <r>
      <rPr>
        <sz val="10"/>
        <rFont val="華康粗圓體"/>
        <family val="3"/>
      </rPr>
      <t>原住民</t>
    </r>
  </si>
  <si>
    <r>
      <rPr>
        <sz val="10"/>
        <rFont val="華康粗圓體"/>
        <family val="3"/>
      </rPr>
      <t>財產或存款未能及時
運用致生活陷於困境者</t>
    </r>
  </si>
  <si>
    <r>
      <rPr>
        <sz val="10"/>
        <rFont val="華康粗圓體"/>
        <family val="3"/>
      </rPr>
      <t>救助人數</t>
    </r>
  </si>
  <si>
    <r>
      <rPr>
        <sz val="10"/>
        <rFont val="華康粗圓體"/>
        <family val="3"/>
      </rPr>
      <t>資料來源：本府社會局、原住民族行政局。</t>
    </r>
  </si>
  <si>
    <r>
      <rPr>
        <sz val="10"/>
        <color indexed="9"/>
        <rFont val="華康粗圓體"/>
        <family val="3"/>
      </rPr>
      <t>說　　明：</t>
    </r>
    <r>
      <rPr>
        <sz val="10"/>
        <rFont val="Arial Narrow"/>
        <family val="2"/>
      </rPr>
      <t>2.103</t>
    </r>
    <r>
      <rPr>
        <sz val="10"/>
        <rFont val="華康粗圓體"/>
        <family val="3"/>
      </rPr>
      <t>年第</t>
    </r>
    <r>
      <rPr>
        <sz val="10"/>
        <rFont val="Arial Narrow"/>
        <family val="2"/>
      </rPr>
      <t>2</t>
    </r>
    <r>
      <rPr>
        <sz val="10"/>
        <rFont val="華康粗圓體"/>
        <family val="3"/>
      </rPr>
      <t>季起始有原住民族急難救助相關統計。</t>
    </r>
  </si>
  <si>
    <r>
      <rPr>
        <sz val="10"/>
        <color indexed="9"/>
        <rFont val="華康粗圓體"/>
        <family val="3"/>
      </rPr>
      <t>說　　明：</t>
    </r>
    <r>
      <rPr>
        <sz val="10"/>
        <rFont val="Arial Narrow"/>
        <family val="2"/>
      </rPr>
      <t>3.106</t>
    </r>
    <r>
      <rPr>
        <sz val="10"/>
        <rFont val="華康粗圓體"/>
        <family val="3"/>
      </rPr>
      <t>年度起本表納入本府原住民族行政局之原住民族急難救助相關資料，且不列入總計。</t>
    </r>
  </si>
  <si>
    <r>
      <rPr>
        <sz val="10"/>
        <rFont val="華康粗圓體"/>
        <family val="3"/>
      </rPr>
      <t>限　　額
醫療補助</t>
    </r>
  </si>
  <si>
    <r>
      <rPr>
        <b/>
        <sz val="14"/>
        <color indexed="10"/>
        <rFont val="華康粗圓體"/>
        <family val="3"/>
      </rPr>
      <t>問題</t>
    </r>
    <r>
      <rPr>
        <b/>
        <sz val="14"/>
        <color indexed="10"/>
        <rFont val="Arial Narrow"/>
        <family val="2"/>
      </rPr>
      <t>:105</t>
    </r>
    <r>
      <rPr>
        <b/>
        <sz val="14"/>
        <color indexed="10"/>
        <rFont val="華康粗圓體"/>
        <family val="3"/>
      </rPr>
      <t>年</t>
    </r>
    <r>
      <rPr>
        <b/>
        <sz val="14"/>
        <color indexed="10"/>
        <rFont val="Arial Narrow"/>
        <family val="2"/>
      </rPr>
      <t>q1~2</t>
    </r>
    <r>
      <rPr>
        <b/>
        <sz val="14"/>
        <color indexed="10"/>
        <rFont val="華康粗圓體"/>
        <family val="3"/>
      </rPr>
      <t>未修正報表</t>
    </r>
  </si>
  <si>
    <r>
      <rPr>
        <sz val="10"/>
        <color indexed="9"/>
        <rFont val="華康粗圓體"/>
        <family val="3"/>
      </rPr>
      <t>說明：</t>
    </r>
    <r>
      <rPr>
        <sz val="10"/>
        <rFont val="華康粗圓體"/>
        <family val="3"/>
      </rPr>
      <t>「限額醫療補助」。</t>
    </r>
  </si>
  <si>
    <r>
      <rPr>
        <sz val="10"/>
        <color indexed="9"/>
        <rFont val="Arial Narrow"/>
        <family val="2"/>
      </rPr>
      <t xml:space="preserve">Note : </t>
    </r>
    <r>
      <rPr>
        <sz val="10"/>
        <rFont val="Arial Narrow"/>
        <family val="2"/>
      </rPr>
      <t xml:space="preserve">people and persons collapsing by roadside,and since 2016  amount of assistance for people and persons collapsing by roadside </t>
    </r>
  </si>
  <si>
    <r>
      <rPr>
        <sz val="10"/>
        <color indexed="9"/>
        <rFont val="Arial Narrow"/>
        <family val="2"/>
      </rPr>
      <t xml:space="preserve">Note : </t>
    </r>
    <r>
      <rPr>
        <sz val="10"/>
        <rFont val="Arial Narrow"/>
        <family val="2"/>
      </rPr>
      <t>were calculated in"Limited Medical Subsidies".</t>
    </r>
  </si>
  <si>
    <r>
      <t>65+</t>
    </r>
    <r>
      <rPr>
        <sz val="10"/>
        <rFont val="華康粗圓體"/>
        <family val="3"/>
      </rPr>
      <t>人數</t>
    </r>
  </si>
  <si>
    <r>
      <rPr>
        <sz val="10"/>
        <rFont val="華康粗圓體"/>
        <family val="3"/>
      </rPr>
      <t>民國</t>
    </r>
    <r>
      <rPr>
        <sz val="10"/>
        <rFont val="Arial Narrow"/>
        <family val="2"/>
      </rPr>
      <t>97</t>
    </r>
    <r>
      <rPr>
        <sz val="10"/>
        <rFont val="華康粗圓體"/>
        <family val="3"/>
      </rPr>
      <t xml:space="preserve">年
</t>
    </r>
    <r>
      <rPr>
        <sz val="10"/>
        <rFont val="Arial Narrow"/>
        <family val="2"/>
      </rPr>
      <t>2008</t>
    </r>
  </si>
  <si>
    <r>
      <rPr>
        <sz val="10"/>
        <rFont val="華康粗圓體"/>
        <family val="3"/>
      </rPr>
      <t>民國</t>
    </r>
    <r>
      <rPr>
        <sz val="10"/>
        <rFont val="Arial Narrow"/>
        <family val="2"/>
      </rPr>
      <t>98</t>
    </r>
    <r>
      <rPr>
        <sz val="10"/>
        <rFont val="華康粗圓體"/>
        <family val="3"/>
      </rPr>
      <t xml:space="preserve">年
</t>
    </r>
    <r>
      <rPr>
        <sz val="10"/>
        <rFont val="Arial Narrow"/>
        <family val="2"/>
      </rPr>
      <t>2009</t>
    </r>
  </si>
  <si>
    <r>
      <rPr>
        <sz val="10"/>
        <rFont val="華康粗圓體"/>
        <family val="3"/>
      </rPr>
      <t>民國</t>
    </r>
    <r>
      <rPr>
        <sz val="10"/>
        <rFont val="Arial Narrow"/>
        <family val="2"/>
      </rPr>
      <t>99</t>
    </r>
    <r>
      <rPr>
        <sz val="10"/>
        <rFont val="華康粗圓體"/>
        <family val="3"/>
      </rPr>
      <t xml:space="preserve">年
</t>
    </r>
    <r>
      <rPr>
        <sz val="10"/>
        <rFont val="Arial Narrow"/>
        <family val="2"/>
      </rPr>
      <t>2010</t>
    </r>
  </si>
  <si>
    <r>
      <rPr>
        <sz val="10"/>
        <rFont val="華康粗圓體"/>
        <family val="3"/>
      </rPr>
      <t>民國</t>
    </r>
    <r>
      <rPr>
        <sz val="10"/>
        <rFont val="Arial Narrow"/>
        <family val="2"/>
      </rPr>
      <t>100</t>
    </r>
    <r>
      <rPr>
        <sz val="10"/>
        <rFont val="華康粗圓體"/>
        <family val="3"/>
      </rPr>
      <t xml:space="preserve">年
</t>
    </r>
    <r>
      <rPr>
        <sz val="10"/>
        <rFont val="Arial Narrow"/>
        <family val="2"/>
      </rPr>
      <t>2011</t>
    </r>
  </si>
  <si>
    <r>
      <rPr>
        <sz val="10"/>
        <rFont val="華康粗圓體"/>
        <family val="3"/>
      </rPr>
      <t>民國</t>
    </r>
    <r>
      <rPr>
        <sz val="10"/>
        <rFont val="Arial Narrow"/>
        <family val="2"/>
      </rPr>
      <t>101</t>
    </r>
    <r>
      <rPr>
        <sz val="10"/>
        <rFont val="華康粗圓體"/>
        <family val="3"/>
      </rPr>
      <t xml:space="preserve">年
</t>
    </r>
    <r>
      <rPr>
        <sz val="10"/>
        <rFont val="Arial Narrow"/>
        <family val="2"/>
      </rPr>
      <t>2012</t>
    </r>
  </si>
  <si>
    <r>
      <rPr>
        <sz val="10"/>
        <rFont val="華康粗圓體"/>
        <family val="3"/>
      </rPr>
      <t>民國</t>
    </r>
    <r>
      <rPr>
        <sz val="10"/>
        <rFont val="Arial Narrow"/>
        <family val="2"/>
      </rPr>
      <t>102</t>
    </r>
    <r>
      <rPr>
        <sz val="10"/>
        <rFont val="華康粗圓體"/>
        <family val="3"/>
      </rPr>
      <t xml:space="preserve">年
</t>
    </r>
    <r>
      <rPr>
        <sz val="10"/>
        <rFont val="Arial Narrow"/>
        <family val="2"/>
      </rPr>
      <t>2013</t>
    </r>
  </si>
  <si>
    <r>
      <rPr>
        <sz val="10"/>
        <rFont val="華康粗圓體"/>
        <family val="3"/>
      </rPr>
      <t>民國</t>
    </r>
    <r>
      <rPr>
        <sz val="10"/>
        <rFont val="Arial Narrow"/>
        <family val="2"/>
      </rPr>
      <t>103</t>
    </r>
    <r>
      <rPr>
        <sz val="10"/>
        <rFont val="華康粗圓體"/>
        <family val="3"/>
      </rPr>
      <t xml:space="preserve">年
</t>
    </r>
    <r>
      <rPr>
        <sz val="10"/>
        <rFont val="Arial Narrow"/>
        <family val="2"/>
      </rPr>
      <t>2014</t>
    </r>
  </si>
  <si>
    <r>
      <rPr>
        <sz val="10"/>
        <rFont val="華康粗圓體"/>
        <family val="3"/>
      </rPr>
      <t>民國</t>
    </r>
    <r>
      <rPr>
        <sz val="10"/>
        <rFont val="Arial Narrow"/>
        <family val="2"/>
      </rPr>
      <t>104</t>
    </r>
    <r>
      <rPr>
        <sz val="10"/>
        <rFont val="華康粗圓體"/>
        <family val="3"/>
      </rPr>
      <t xml:space="preserve">年
</t>
    </r>
    <r>
      <rPr>
        <sz val="10"/>
        <rFont val="Arial Narrow"/>
        <family val="2"/>
      </rPr>
      <t>2015</t>
    </r>
  </si>
  <si>
    <r>
      <rPr>
        <sz val="10"/>
        <rFont val="華康粗圓體"/>
        <family val="3"/>
      </rPr>
      <t>民國</t>
    </r>
    <r>
      <rPr>
        <sz val="10"/>
        <rFont val="Arial Narrow"/>
        <family val="2"/>
      </rPr>
      <t>105</t>
    </r>
    <r>
      <rPr>
        <sz val="10"/>
        <rFont val="華康粗圓體"/>
        <family val="3"/>
      </rPr>
      <t xml:space="preserve">年
</t>
    </r>
    <r>
      <rPr>
        <sz val="10"/>
        <rFont val="Arial Narrow"/>
        <family val="2"/>
      </rPr>
      <t>2016</t>
    </r>
  </si>
  <si>
    <r>
      <rPr>
        <sz val="10"/>
        <rFont val="華康粗圓體"/>
        <family val="3"/>
      </rPr>
      <t>民國</t>
    </r>
    <r>
      <rPr>
        <sz val="10"/>
        <rFont val="Arial Narrow"/>
        <family val="2"/>
      </rPr>
      <t>106</t>
    </r>
    <r>
      <rPr>
        <sz val="10"/>
        <rFont val="華康粗圓體"/>
        <family val="3"/>
      </rPr>
      <t xml:space="preserve">年
</t>
    </r>
    <r>
      <rPr>
        <sz val="10"/>
        <rFont val="Arial Narrow"/>
        <family val="2"/>
      </rPr>
      <t>2017</t>
    </r>
  </si>
  <si>
    <r>
      <rPr>
        <sz val="13"/>
        <rFont val="華康粗圓體"/>
        <family val="3"/>
      </rPr>
      <t>表</t>
    </r>
    <r>
      <rPr>
        <sz val="13"/>
        <rFont val="Arial Narrow"/>
        <family val="2"/>
      </rPr>
      <t>11-10</t>
    </r>
    <r>
      <rPr>
        <sz val="13"/>
        <rFont val="華康粗圓體"/>
        <family val="3"/>
      </rPr>
      <t>、中低收入老人生活津貼與老農津貼</t>
    </r>
  </si>
  <si>
    <r>
      <rPr>
        <sz val="10"/>
        <rFont val="華康粗圓體"/>
        <family val="3"/>
      </rPr>
      <t>單位：人；千元</t>
    </r>
  </si>
  <si>
    <r>
      <rPr>
        <sz val="10"/>
        <rFont val="華康粗圓體"/>
        <family val="3"/>
      </rPr>
      <t>中低收入老人生活津貼</t>
    </r>
  </si>
  <si>
    <r>
      <rPr>
        <sz val="10"/>
        <rFont val="華康粗圓體"/>
        <family val="3"/>
      </rPr>
      <t>年</t>
    </r>
    <r>
      <rPr>
        <sz val="10"/>
        <rFont val="Arial Narrow"/>
        <family val="2"/>
      </rPr>
      <t xml:space="preserve">    </t>
    </r>
    <r>
      <rPr>
        <sz val="10"/>
        <rFont val="華康粗圓體"/>
        <family val="3"/>
      </rPr>
      <t>　　別</t>
    </r>
  </si>
  <si>
    <r>
      <rPr>
        <sz val="10"/>
        <rFont val="華康粗圓體"/>
        <family val="3"/>
      </rPr>
      <t xml:space="preserve">合計
</t>
    </r>
    <r>
      <rPr>
        <sz val="10"/>
        <rFont val="Arial Narrow"/>
        <family val="2"/>
      </rPr>
      <t>Total</t>
    </r>
  </si>
  <si>
    <r>
      <rPr>
        <sz val="10"/>
        <rFont val="華康粗圓體"/>
        <family val="3"/>
      </rPr>
      <t>低收入戶</t>
    </r>
    <r>
      <rPr>
        <sz val="10"/>
        <rFont val="Arial Narrow"/>
        <family val="2"/>
      </rPr>
      <t xml:space="preserve">      Low Income Elders</t>
    </r>
  </si>
  <si>
    <r>
      <rPr>
        <sz val="10"/>
        <rFont val="華康粗圓體"/>
        <family val="3"/>
      </rPr>
      <t>第一款</t>
    </r>
  </si>
  <si>
    <r>
      <rPr>
        <sz val="10"/>
        <rFont val="華康粗圓體"/>
        <family val="3"/>
      </rPr>
      <t>第二款</t>
    </r>
  </si>
  <si>
    <r>
      <rPr>
        <sz val="10"/>
        <rFont val="華康粗圓體"/>
        <family val="3"/>
      </rPr>
      <t>第三款</t>
    </r>
  </si>
  <si>
    <r>
      <rPr>
        <sz val="10"/>
        <rFont val="華康粗圓體"/>
        <family val="3"/>
      </rPr>
      <t>資料來源：衛生福利部、勞動部勞工保險局。</t>
    </r>
  </si>
  <si>
    <r>
      <rPr>
        <sz val="10"/>
        <rFont val="華康粗圓體"/>
        <family val="3"/>
      </rPr>
      <t>說　　明：人數為年底數字；金額為全年數字。</t>
    </r>
  </si>
  <si>
    <r>
      <rPr>
        <sz val="13"/>
        <rFont val="華康粗圓體"/>
        <family val="3"/>
      </rPr>
      <t>表</t>
    </r>
    <r>
      <rPr>
        <sz val="13"/>
        <rFont val="Arial Narrow"/>
        <family val="2"/>
      </rPr>
      <t>11-9</t>
    </r>
    <r>
      <rPr>
        <sz val="13"/>
        <rFont val="華康粗圓體"/>
        <family val="3"/>
      </rPr>
      <t>、中低收入戶人數及生活扶助</t>
    </r>
  </si>
  <si>
    <r>
      <rPr>
        <sz val="10"/>
        <rFont val="華康粗圓體"/>
        <family val="3"/>
      </rPr>
      <t>單位：戶；人；人次；千元</t>
    </r>
  </si>
  <si>
    <r>
      <rPr>
        <sz val="10"/>
        <rFont val="華康粗圓體"/>
        <family val="3"/>
      </rPr>
      <t>年別</t>
    </r>
  </si>
  <si>
    <r>
      <rPr>
        <sz val="10"/>
        <rFont val="華康粗圓體"/>
        <family val="3"/>
      </rPr>
      <t>總計</t>
    </r>
    <r>
      <rPr>
        <sz val="10"/>
        <rFont val="Arial Narrow"/>
        <family val="2"/>
      </rPr>
      <t xml:space="preserve"> (</t>
    </r>
    <r>
      <rPr>
        <sz val="10"/>
        <rFont val="華康粗圓體"/>
        <family val="3"/>
      </rPr>
      <t>年</t>
    </r>
    <r>
      <rPr>
        <sz val="10"/>
        <rFont val="Arial Narrow"/>
        <family val="2"/>
      </rPr>
      <t>(</t>
    </r>
    <r>
      <rPr>
        <sz val="10"/>
        <rFont val="華康粗圓體"/>
        <family val="3"/>
      </rPr>
      <t>季</t>
    </r>
    <r>
      <rPr>
        <sz val="10"/>
        <rFont val="Arial Narrow"/>
        <family val="2"/>
      </rPr>
      <t>)</t>
    </r>
    <r>
      <rPr>
        <sz val="10"/>
        <rFont val="華康粗圓體"/>
        <family val="3"/>
      </rPr>
      <t>底</t>
    </r>
    <r>
      <rPr>
        <sz val="10"/>
        <rFont val="Arial Narrow"/>
        <family val="2"/>
      </rPr>
      <t>)</t>
    </r>
  </si>
  <si>
    <r>
      <rPr>
        <sz val="10"/>
        <rFont val="華康粗圓體"/>
        <family val="3"/>
      </rPr>
      <t>產婦及嬰兒
營養補助</t>
    </r>
  </si>
  <si>
    <r>
      <rPr>
        <sz val="10"/>
        <rFont val="華康粗圓體"/>
        <family val="3"/>
      </rPr>
      <t>托兒補助</t>
    </r>
  </si>
  <si>
    <r>
      <rPr>
        <sz val="10"/>
        <rFont val="華康粗圓體"/>
        <family val="3"/>
      </rPr>
      <t>教育補助</t>
    </r>
  </si>
  <si>
    <r>
      <rPr>
        <sz val="10"/>
        <rFont val="華康粗圓體"/>
        <family val="3"/>
      </rPr>
      <t>喪葬補助</t>
    </r>
  </si>
  <si>
    <r>
      <rPr>
        <sz val="10"/>
        <rFont val="華康粗圓體"/>
        <family val="3"/>
      </rPr>
      <t>居家服務</t>
    </r>
  </si>
  <si>
    <r>
      <rPr>
        <sz val="10"/>
        <rFont val="華康粗圓體"/>
        <family val="3"/>
      </rPr>
      <t>生育補助</t>
    </r>
  </si>
  <si>
    <r>
      <rPr>
        <sz val="10"/>
        <rFont val="華康粗圓體"/>
        <family val="3"/>
      </rPr>
      <t>其他必要之
救助及服務</t>
    </r>
  </si>
  <si>
    <r>
      <rPr>
        <sz val="10"/>
        <rFont val="華康粗圓體"/>
        <family val="3"/>
      </rPr>
      <t>輔導就業服務</t>
    </r>
  </si>
  <si>
    <r>
      <rPr>
        <b/>
        <sz val="14"/>
        <color indexed="10"/>
        <rFont val="華康粗圓體"/>
        <family val="3"/>
      </rPr>
      <t>問題</t>
    </r>
    <r>
      <rPr>
        <b/>
        <sz val="14"/>
        <color indexed="10"/>
        <rFont val="Arial Narrow"/>
        <family val="2"/>
      </rPr>
      <t>:</t>
    </r>
    <r>
      <rPr>
        <b/>
        <sz val="14"/>
        <color indexed="10"/>
        <rFont val="華康粗圓體"/>
        <family val="3"/>
      </rPr>
      <t>報表與系統資料不一致</t>
    </r>
    <r>
      <rPr>
        <b/>
        <sz val="14"/>
        <color indexed="10"/>
        <rFont val="Arial Narrow"/>
        <family val="2"/>
      </rPr>
      <t>(5/9</t>
    </r>
    <r>
      <rPr>
        <b/>
        <sz val="14"/>
        <color indexed="10"/>
        <rFont val="華康粗圓體"/>
        <family val="3"/>
      </rPr>
      <t>發現</t>
    </r>
    <r>
      <rPr>
        <b/>
        <sz val="14"/>
        <color indexed="10"/>
        <rFont val="Arial Narrow"/>
        <family val="2"/>
      </rPr>
      <t>)</t>
    </r>
  </si>
  <si>
    <r>
      <rPr>
        <b/>
        <sz val="18"/>
        <color indexed="10"/>
        <rFont val="華康粗圓體"/>
        <family val="3"/>
      </rPr>
      <t>問題</t>
    </r>
    <r>
      <rPr>
        <b/>
        <sz val="18"/>
        <color indexed="10"/>
        <rFont val="Arial Narrow"/>
        <family val="2"/>
      </rPr>
      <t>:</t>
    </r>
    <r>
      <rPr>
        <b/>
        <sz val="18"/>
        <color indexed="10"/>
        <rFont val="華康粗圓體"/>
        <family val="3"/>
      </rPr>
      <t>衛福部各區之間資料貼錯</t>
    </r>
  </si>
  <si>
    <r>
      <rPr>
        <sz val="10"/>
        <rFont val="華康粗圓體"/>
        <family val="3"/>
      </rPr>
      <t>說明：</t>
    </r>
    <r>
      <rPr>
        <sz val="10"/>
        <rFont val="Arial Narrow"/>
        <family val="2"/>
      </rPr>
      <t>1.</t>
    </r>
    <r>
      <rPr>
        <sz val="10"/>
        <rFont val="華康粗圓體"/>
        <family val="3"/>
      </rPr>
      <t>自</t>
    </r>
    <r>
      <rPr>
        <sz val="10"/>
        <rFont val="Arial Narrow"/>
        <family val="2"/>
      </rPr>
      <t>101</t>
    </r>
    <r>
      <rPr>
        <sz val="10"/>
        <rFont val="華康粗圓體"/>
        <family val="3"/>
      </rPr>
      <t>年</t>
    </r>
    <r>
      <rPr>
        <sz val="10"/>
        <rFont val="Arial Narrow"/>
        <family val="2"/>
      </rPr>
      <t>7</t>
    </r>
    <r>
      <rPr>
        <sz val="10"/>
        <rFont val="華康粗圓體"/>
        <family val="3"/>
      </rPr>
      <t>月</t>
    </r>
    <r>
      <rPr>
        <sz val="10"/>
        <rFont val="Arial Narrow"/>
        <family val="2"/>
      </rPr>
      <t>11</t>
    </r>
    <r>
      <rPr>
        <sz val="10"/>
        <rFont val="華康粗圓體"/>
        <family val="3"/>
      </rPr>
      <t>日起，實施身心障礙鑑定與需求評估新制。</t>
    </r>
  </si>
  <si>
    <r>
      <t>Note</t>
    </r>
    <r>
      <rPr>
        <sz val="10"/>
        <rFont val="華康粗圓體"/>
        <family val="3"/>
      </rPr>
      <t>：</t>
    </r>
    <r>
      <rPr>
        <sz val="10"/>
        <rFont val="Arial Narrow"/>
        <family val="2"/>
      </rPr>
      <t>1.Since July 11,2012 the identification and demand assessment of disability was implemented by New System.</t>
    </r>
  </si>
  <si>
    <r>
      <rPr>
        <sz val="10"/>
        <color indexed="9"/>
        <rFont val="華康粗圓體"/>
        <family val="3"/>
      </rPr>
      <t>說明：</t>
    </r>
    <r>
      <rPr>
        <sz val="10"/>
        <rFont val="Arial Narrow"/>
        <family val="2"/>
      </rPr>
      <t>2.101</t>
    </r>
    <r>
      <rPr>
        <sz val="10"/>
        <rFont val="華康粗圓體"/>
        <family val="3"/>
      </rPr>
      <t>年身心障礙人數僅統計舊制部分。</t>
    </r>
  </si>
  <si>
    <r>
      <rPr>
        <sz val="10"/>
        <color indexed="9"/>
        <rFont val="Arial Narrow"/>
        <family val="2"/>
      </rPr>
      <t>Note</t>
    </r>
    <r>
      <rPr>
        <sz val="10"/>
        <color indexed="9"/>
        <rFont val="華康粗圓體"/>
        <family val="3"/>
      </rPr>
      <t>：</t>
    </r>
    <r>
      <rPr>
        <sz val="10"/>
        <rFont val="Arial Narrow"/>
        <family val="2"/>
      </rPr>
      <t>2.In 2012,only With Disability Manual by Old System were included in grand total.</t>
    </r>
  </si>
  <si>
    <r>
      <rPr>
        <b/>
        <sz val="14"/>
        <color indexed="10"/>
        <rFont val="華康粗圓體"/>
        <family val="3"/>
      </rPr>
      <t>問題</t>
    </r>
    <r>
      <rPr>
        <b/>
        <sz val="14"/>
        <color indexed="10"/>
        <rFont val="Arial Narrow"/>
        <family val="2"/>
      </rPr>
      <t>:</t>
    </r>
    <r>
      <rPr>
        <b/>
        <sz val="14"/>
        <color indexed="10"/>
        <rFont val="華康粗圓體"/>
        <family val="3"/>
      </rPr>
      <t>報表與系統資料不一致</t>
    </r>
    <r>
      <rPr>
        <b/>
        <sz val="14"/>
        <color indexed="10"/>
        <rFont val="Arial Narrow"/>
        <family val="2"/>
      </rPr>
      <t>(5/29</t>
    </r>
    <r>
      <rPr>
        <b/>
        <sz val="14"/>
        <color indexed="10"/>
        <rFont val="華康粗圓體"/>
        <family val="3"/>
      </rPr>
      <t>發現</t>
    </r>
    <r>
      <rPr>
        <b/>
        <sz val="14"/>
        <color indexed="10"/>
        <rFont val="Arial Narrow"/>
        <family val="2"/>
      </rPr>
      <t>)</t>
    </r>
  </si>
  <si>
    <r>
      <rPr>
        <sz val="10"/>
        <color indexed="9"/>
        <rFont val="華康粗圓體"/>
        <family val="3"/>
      </rPr>
      <t>說明：</t>
    </r>
    <r>
      <rPr>
        <sz val="10"/>
        <rFont val="Arial Narrow"/>
        <family val="2"/>
      </rPr>
      <t>2.104</t>
    </r>
    <r>
      <rPr>
        <sz val="10"/>
        <rFont val="華康粗圓體"/>
        <family val="3"/>
      </rPr>
      <t>年起社區媽媽教室更名為社區成長教室。</t>
    </r>
  </si>
  <si>
    <r>
      <rPr>
        <sz val="10"/>
        <color indexed="9"/>
        <rFont val="Arial Narrow"/>
        <family val="2"/>
      </rPr>
      <t>Note</t>
    </r>
    <r>
      <rPr>
        <sz val="10"/>
        <color indexed="9"/>
        <rFont val="華康粗圓體"/>
        <family val="3"/>
      </rPr>
      <t>：</t>
    </r>
    <r>
      <rPr>
        <sz val="10"/>
        <rFont val="Arial Narrow"/>
        <family val="2"/>
      </rPr>
      <t>2.Since 2015 Community Mothers' Common Room renamed Community Growth Room.</t>
    </r>
  </si>
  <si>
    <r>
      <rPr>
        <sz val="10"/>
        <rFont val="華康粗圓體"/>
        <family val="3"/>
      </rPr>
      <t>民國</t>
    </r>
    <r>
      <rPr>
        <sz val="10"/>
        <rFont val="Arial Narrow"/>
        <family val="2"/>
      </rPr>
      <t>106</t>
    </r>
    <r>
      <rPr>
        <sz val="10"/>
        <rFont val="華康粗圓體"/>
        <family val="3"/>
      </rPr>
      <t>年底</t>
    </r>
  </si>
  <si>
    <r>
      <rPr>
        <sz val="10"/>
        <rFont val="華康粗圓體"/>
        <family val="3"/>
      </rPr>
      <t>身心障礙教養院</t>
    </r>
  </si>
  <si>
    <r>
      <rPr>
        <sz val="10"/>
        <rFont val="華康粗圓體"/>
        <family val="3"/>
      </rPr>
      <t>青少年輔導院</t>
    </r>
  </si>
  <si>
    <r>
      <rPr>
        <sz val="10"/>
        <rFont val="華康粗圓體"/>
        <family val="3"/>
      </rPr>
      <t>福利基金會</t>
    </r>
  </si>
  <si>
    <r>
      <rPr>
        <sz val="10"/>
        <rFont val="華康粗圓體"/>
        <family val="3"/>
      </rPr>
      <t>社會服務中心</t>
    </r>
  </si>
  <si>
    <r>
      <rPr>
        <sz val="10"/>
        <rFont val="華康粗圓體"/>
        <family val="3"/>
      </rPr>
      <t>幼兒園</t>
    </r>
  </si>
  <si>
    <r>
      <rPr>
        <sz val="10"/>
        <rFont val="華康粗圓體"/>
        <family val="3"/>
      </rPr>
      <t>身心障礙教養院</t>
    </r>
  </si>
  <si>
    <r>
      <rPr>
        <sz val="10"/>
        <rFont val="華康粗圓體"/>
        <family val="3"/>
      </rPr>
      <t>青少年輔導院</t>
    </r>
  </si>
  <si>
    <r>
      <rPr>
        <sz val="10"/>
        <rFont val="華康粗圓體"/>
        <family val="3"/>
      </rPr>
      <t>民國</t>
    </r>
    <r>
      <rPr>
        <sz val="10"/>
        <rFont val="Arial Narrow"/>
        <family val="2"/>
      </rPr>
      <t>106</t>
    </r>
    <r>
      <rPr>
        <sz val="10"/>
        <rFont val="華康粗圓體"/>
        <family val="3"/>
      </rPr>
      <t>年底</t>
    </r>
  </si>
  <si>
    <r>
      <rPr>
        <sz val="10"/>
        <rFont val="華康粗圓體"/>
        <family val="3"/>
      </rPr>
      <t>神職人員數（人）</t>
    </r>
  </si>
  <si>
    <r>
      <rPr>
        <sz val="9"/>
        <rFont val="華康粗圓體"/>
        <family val="3"/>
      </rPr>
      <t>年別</t>
    </r>
  </si>
  <si>
    <r>
      <rPr>
        <sz val="9"/>
        <rFont val="華康粗圓體"/>
        <family val="3"/>
      </rPr>
      <t xml:space="preserve">婦女福利機構、外籍配偶家庭服務中心
</t>
    </r>
    <r>
      <rPr>
        <sz val="9"/>
        <rFont val="Arial Narrow"/>
        <family val="2"/>
      </rPr>
      <t>Women Welfare Institutes and Foreign Spouse Family Service Centers</t>
    </r>
  </si>
  <si>
    <r>
      <rPr>
        <sz val="9"/>
        <rFont val="華康粗圓體"/>
        <family val="3"/>
      </rPr>
      <t xml:space="preserve">婦女福利服務內容
</t>
    </r>
    <r>
      <rPr>
        <sz val="9"/>
        <rFont val="Arial Narrow"/>
        <family val="2"/>
      </rPr>
      <t>Service Contents</t>
    </r>
  </si>
  <si>
    <r>
      <rPr>
        <b/>
        <sz val="9"/>
        <color indexed="10"/>
        <rFont val="華康粗圓體"/>
        <family val="3"/>
      </rPr>
      <t>問題</t>
    </r>
    <r>
      <rPr>
        <b/>
        <sz val="9"/>
        <color indexed="10"/>
        <rFont val="Arial Narrow"/>
        <family val="2"/>
      </rPr>
      <t>:</t>
    </r>
    <r>
      <rPr>
        <b/>
        <sz val="9"/>
        <color indexed="10"/>
        <rFont val="華康粗圓體"/>
        <family val="3"/>
      </rPr>
      <t>報表</t>
    </r>
    <r>
      <rPr>
        <b/>
        <sz val="9"/>
        <color indexed="10"/>
        <rFont val="Arial Narrow"/>
        <family val="2"/>
      </rPr>
      <t>106</t>
    </r>
    <r>
      <rPr>
        <b/>
        <sz val="9"/>
        <color indexed="10"/>
        <rFont val="華康粗圓體"/>
        <family val="3"/>
      </rPr>
      <t>上半婦女服務機構，紙本數字與系統未符合</t>
    </r>
  </si>
  <si>
    <r>
      <rPr>
        <sz val="9"/>
        <rFont val="華康粗圓體"/>
        <family val="3"/>
      </rPr>
      <t xml:space="preserve">年底婦女福利
服務中心機構數
</t>
    </r>
    <r>
      <rPr>
        <sz val="9"/>
        <rFont val="Arial Narrow"/>
        <family val="2"/>
      </rPr>
      <t>(</t>
    </r>
    <r>
      <rPr>
        <sz val="9"/>
        <rFont val="華康粗圓體"/>
        <family val="3"/>
      </rPr>
      <t>所</t>
    </r>
    <r>
      <rPr>
        <sz val="9"/>
        <rFont val="Arial Narrow"/>
        <family val="2"/>
      </rPr>
      <t>)</t>
    </r>
  </si>
  <si>
    <r>
      <rPr>
        <sz val="9"/>
        <rFont val="華康粗圓體"/>
        <family val="3"/>
      </rPr>
      <t>婦女中途之家、庇護中心</t>
    </r>
  </si>
  <si>
    <r>
      <rPr>
        <sz val="9"/>
        <rFont val="華康粗圓體"/>
        <family val="3"/>
      </rPr>
      <t xml:space="preserve">年底外籍配偶家庭
服務中心機構數
</t>
    </r>
    <r>
      <rPr>
        <sz val="9"/>
        <rFont val="Arial Narrow"/>
        <family val="2"/>
      </rPr>
      <t>(</t>
    </r>
    <r>
      <rPr>
        <sz val="9"/>
        <rFont val="華康粗圓體"/>
        <family val="3"/>
      </rPr>
      <t>所</t>
    </r>
    <r>
      <rPr>
        <sz val="9"/>
        <rFont val="Arial Narrow"/>
        <family val="2"/>
      </rPr>
      <t>)</t>
    </r>
  </si>
  <si>
    <r>
      <rPr>
        <sz val="9"/>
        <rFont val="華康粗圓體"/>
        <family val="3"/>
      </rPr>
      <t xml:space="preserve">法律諮詢
</t>
    </r>
    <r>
      <rPr>
        <sz val="9"/>
        <rFont val="Arial Narrow"/>
        <family val="2"/>
      </rPr>
      <t>(</t>
    </r>
    <r>
      <rPr>
        <sz val="9"/>
        <rFont val="華康粗圓體"/>
        <family val="3"/>
      </rPr>
      <t>人次</t>
    </r>
    <r>
      <rPr>
        <sz val="9"/>
        <rFont val="Arial Narrow"/>
        <family val="2"/>
      </rPr>
      <t>)</t>
    </r>
  </si>
  <si>
    <r>
      <rPr>
        <sz val="9"/>
        <rFont val="華康粗圓體"/>
        <family val="3"/>
      </rPr>
      <t xml:space="preserve">諮商輔導
</t>
    </r>
    <r>
      <rPr>
        <sz val="9"/>
        <rFont val="Arial Narrow"/>
        <family val="2"/>
      </rPr>
      <t>(</t>
    </r>
    <r>
      <rPr>
        <sz val="9"/>
        <rFont val="華康粗圓體"/>
        <family val="3"/>
      </rPr>
      <t>人次</t>
    </r>
    <r>
      <rPr>
        <sz val="9"/>
        <rFont val="Arial Narrow"/>
        <family val="2"/>
      </rPr>
      <t>)</t>
    </r>
  </si>
  <si>
    <r>
      <rPr>
        <sz val="9"/>
        <rFont val="華康粗圓體"/>
        <family val="3"/>
      </rPr>
      <t>親職講座</t>
    </r>
  </si>
  <si>
    <r>
      <rPr>
        <sz val="9"/>
        <rFont val="華康粗圓體"/>
        <family val="3"/>
      </rPr>
      <t>婦女福利活動</t>
    </r>
  </si>
  <si>
    <r>
      <rPr>
        <sz val="9"/>
        <rFont val="華康粗圓體"/>
        <family val="3"/>
      </rPr>
      <t>婦女學苑</t>
    </r>
  </si>
  <si>
    <r>
      <rPr>
        <sz val="9"/>
        <rFont val="華康粗圓體"/>
        <family val="3"/>
      </rPr>
      <t>其他</t>
    </r>
  </si>
  <si>
    <r>
      <rPr>
        <sz val="9"/>
        <rFont val="華康粗圓體"/>
        <family val="3"/>
      </rPr>
      <t xml:space="preserve">年底機構數
</t>
    </r>
    <r>
      <rPr>
        <sz val="9"/>
        <rFont val="Arial Narrow"/>
        <family val="2"/>
      </rPr>
      <t>(</t>
    </r>
    <r>
      <rPr>
        <sz val="9"/>
        <rFont val="華康粗圓體"/>
        <family val="3"/>
      </rPr>
      <t>所</t>
    </r>
    <r>
      <rPr>
        <sz val="9"/>
        <rFont val="Arial Narrow"/>
        <family val="2"/>
      </rPr>
      <t>)</t>
    </r>
  </si>
  <si>
    <r>
      <rPr>
        <sz val="9"/>
        <rFont val="華康粗圓體"/>
        <family val="3"/>
      </rPr>
      <t xml:space="preserve">收容個案數
</t>
    </r>
    <r>
      <rPr>
        <sz val="9"/>
        <rFont val="Arial Narrow"/>
        <family val="2"/>
      </rPr>
      <t>(</t>
    </r>
    <r>
      <rPr>
        <sz val="9"/>
        <rFont val="華康粗圓體"/>
        <family val="3"/>
      </rPr>
      <t>人次</t>
    </r>
    <r>
      <rPr>
        <sz val="9"/>
        <rFont val="Arial Narrow"/>
        <family val="2"/>
      </rPr>
      <t>)</t>
    </r>
  </si>
  <si>
    <r>
      <rPr>
        <sz val="9"/>
        <rFont val="華康粗圓體"/>
        <family val="3"/>
      </rPr>
      <t>民國</t>
    </r>
    <r>
      <rPr>
        <sz val="9"/>
        <rFont val="Arial Narrow"/>
        <family val="2"/>
      </rPr>
      <t>97</t>
    </r>
    <r>
      <rPr>
        <sz val="9"/>
        <rFont val="華康粗圓體"/>
        <family val="3"/>
      </rPr>
      <t xml:space="preserve">年
</t>
    </r>
    <r>
      <rPr>
        <sz val="9"/>
        <rFont val="Arial Narrow"/>
        <family val="2"/>
      </rPr>
      <t>2008</t>
    </r>
  </si>
  <si>
    <r>
      <rPr>
        <sz val="9"/>
        <rFont val="華康粗圓體"/>
        <family val="3"/>
      </rPr>
      <t>民國</t>
    </r>
    <r>
      <rPr>
        <sz val="9"/>
        <rFont val="Arial Narrow"/>
        <family val="2"/>
      </rPr>
      <t>98</t>
    </r>
    <r>
      <rPr>
        <sz val="9"/>
        <rFont val="華康粗圓體"/>
        <family val="3"/>
      </rPr>
      <t xml:space="preserve">年
</t>
    </r>
    <r>
      <rPr>
        <sz val="9"/>
        <rFont val="Arial Narrow"/>
        <family val="2"/>
      </rPr>
      <t>2009</t>
    </r>
  </si>
  <si>
    <r>
      <rPr>
        <sz val="9"/>
        <rFont val="華康粗圓體"/>
        <family val="3"/>
      </rPr>
      <t>民國</t>
    </r>
    <r>
      <rPr>
        <sz val="9"/>
        <rFont val="Arial Narrow"/>
        <family val="2"/>
      </rPr>
      <t>99</t>
    </r>
    <r>
      <rPr>
        <sz val="9"/>
        <rFont val="華康粗圓體"/>
        <family val="3"/>
      </rPr>
      <t xml:space="preserve">年
</t>
    </r>
    <r>
      <rPr>
        <sz val="9"/>
        <rFont val="Arial Narrow"/>
        <family val="2"/>
      </rPr>
      <t>2010</t>
    </r>
  </si>
  <si>
    <r>
      <rPr>
        <sz val="9"/>
        <rFont val="華康粗圓體"/>
        <family val="3"/>
      </rPr>
      <t>民國</t>
    </r>
    <r>
      <rPr>
        <sz val="9"/>
        <rFont val="Arial Narrow"/>
        <family val="2"/>
      </rPr>
      <t>100</t>
    </r>
    <r>
      <rPr>
        <sz val="9"/>
        <rFont val="華康粗圓體"/>
        <family val="3"/>
      </rPr>
      <t xml:space="preserve">年
</t>
    </r>
    <r>
      <rPr>
        <sz val="9"/>
        <rFont val="Arial Narrow"/>
        <family val="2"/>
      </rPr>
      <t>2011</t>
    </r>
  </si>
  <si>
    <r>
      <rPr>
        <sz val="9"/>
        <rFont val="華康粗圓體"/>
        <family val="3"/>
      </rPr>
      <t>民國</t>
    </r>
    <r>
      <rPr>
        <sz val="9"/>
        <rFont val="Arial Narrow"/>
        <family val="2"/>
      </rPr>
      <t>101</t>
    </r>
    <r>
      <rPr>
        <sz val="9"/>
        <rFont val="華康粗圓體"/>
        <family val="3"/>
      </rPr>
      <t xml:space="preserve">年
</t>
    </r>
    <r>
      <rPr>
        <sz val="9"/>
        <rFont val="Arial Narrow"/>
        <family val="2"/>
      </rPr>
      <t>2012</t>
    </r>
  </si>
  <si>
    <r>
      <rPr>
        <sz val="9"/>
        <rFont val="華康粗圓體"/>
        <family val="3"/>
      </rPr>
      <t>民國</t>
    </r>
    <r>
      <rPr>
        <sz val="9"/>
        <rFont val="Arial Narrow"/>
        <family val="2"/>
      </rPr>
      <t>102</t>
    </r>
    <r>
      <rPr>
        <sz val="9"/>
        <rFont val="華康粗圓體"/>
        <family val="3"/>
      </rPr>
      <t xml:space="preserve">年
</t>
    </r>
    <r>
      <rPr>
        <sz val="9"/>
        <rFont val="Arial Narrow"/>
        <family val="2"/>
      </rPr>
      <t>2013</t>
    </r>
  </si>
  <si>
    <r>
      <rPr>
        <sz val="9"/>
        <rFont val="華康粗圓體"/>
        <family val="3"/>
      </rPr>
      <t xml:space="preserve">諮詢服務
</t>
    </r>
    <r>
      <rPr>
        <sz val="9"/>
        <rFont val="Arial Narrow"/>
        <family val="2"/>
      </rPr>
      <t>(</t>
    </r>
    <r>
      <rPr>
        <sz val="9"/>
        <rFont val="華康粗圓體"/>
        <family val="3"/>
      </rPr>
      <t>人次</t>
    </r>
    <r>
      <rPr>
        <sz val="9"/>
        <rFont val="Arial Narrow"/>
        <family val="2"/>
      </rPr>
      <t>)</t>
    </r>
  </si>
  <si>
    <r>
      <rPr>
        <sz val="9"/>
        <rFont val="華康粗圓體"/>
        <family val="3"/>
      </rPr>
      <t xml:space="preserve">個案管理服務
</t>
    </r>
    <r>
      <rPr>
        <sz val="9"/>
        <rFont val="Arial Narrow"/>
        <family val="2"/>
      </rPr>
      <t>(</t>
    </r>
    <r>
      <rPr>
        <sz val="9"/>
        <rFont val="華康粗圓體"/>
        <family val="3"/>
      </rPr>
      <t>人次</t>
    </r>
    <r>
      <rPr>
        <sz val="9"/>
        <rFont val="Arial Narrow"/>
        <family val="2"/>
      </rPr>
      <t>)</t>
    </r>
  </si>
  <si>
    <r>
      <rPr>
        <sz val="9"/>
        <rFont val="華康粗圓體"/>
        <family val="3"/>
      </rPr>
      <t>團體方案服務</t>
    </r>
  </si>
  <si>
    <r>
      <rPr>
        <sz val="9"/>
        <rFont val="華康粗圓體"/>
        <family val="3"/>
      </rPr>
      <t>婦女組織培力活動</t>
    </r>
  </si>
  <si>
    <r>
      <rPr>
        <sz val="9"/>
        <rFont val="華康粗圓體"/>
        <family val="3"/>
      </rPr>
      <t>性別意識培力活動</t>
    </r>
  </si>
  <si>
    <r>
      <rPr>
        <sz val="9"/>
        <rFont val="華康粗圓體"/>
        <family val="3"/>
      </rPr>
      <t>民國</t>
    </r>
    <r>
      <rPr>
        <sz val="9"/>
        <rFont val="Arial Narrow"/>
        <family val="2"/>
      </rPr>
      <t>103</t>
    </r>
    <r>
      <rPr>
        <sz val="9"/>
        <rFont val="華康粗圓體"/>
        <family val="3"/>
      </rPr>
      <t xml:space="preserve">年
</t>
    </r>
    <r>
      <rPr>
        <sz val="9"/>
        <rFont val="Arial Narrow"/>
        <family val="2"/>
      </rPr>
      <t>2014</t>
    </r>
  </si>
  <si>
    <r>
      <rPr>
        <sz val="9"/>
        <rFont val="華康粗圓體"/>
        <family val="3"/>
      </rPr>
      <t>民國</t>
    </r>
    <r>
      <rPr>
        <sz val="9"/>
        <rFont val="Arial Narrow"/>
        <family val="2"/>
      </rPr>
      <t>104</t>
    </r>
    <r>
      <rPr>
        <sz val="9"/>
        <rFont val="華康粗圓體"/>
        <family val="3"/>
      </rPr>
      <t xml:space="preserve">年
</t>
    </r>
    <r>
      <rPr>
        <sz val="9"/>
        <rFont val="Arial Narrow"/>
        <family val="2"/>
      </rPr>
      <t>2015</t>
    </r>
  </si>
  <si>
    <r>
      <rPr>
        <sz val="9"/>
        <rFont val="華康粗圓體"/>
        <family val="3"/>
      </rPr>
      <t>民國</t>
    </r>
    <r>
      <rPr>
        <sz val="9"/>
        <rFont val="Arial Narrow"/>
        <family val="2"/>
      </rPr>
      <t>105</t>
    </r>
    <r>
      <rPr>
        <sz val="9"/>
        <rFont val="華康粗圓體"/>
        <family val="3"/>
      </rPr>
      <t xml:space="preserve">年
</t>
    </r>
    <r>
      <rPr>
        <sz val="9"/>
        <rFont val="Arial Narrow"/>
        <family val="2"/>
      </rPr>
      <t>2016</t>
    </r>
  </si>
  <si>
    <r>
      <rPr>
        <sz val="9"/>
        <rFont val="華康粗圓體"/>
        <family val="3"/>
      </rPr>
      <t xml:space="preserve">婦女福利機構、新住民家庭服務中心
</t>
    </r>
    <r>
      <rPr>
        <sz val="9"/>
        <rFont val="Arial Narrow"/>
        <family val="2"/>
      </rPr>
      <t>Women Welfare Institutes and New Resident Family Service Centers</t>
    </r>
  </si>
  <si>
    <r>
      <rPr>
        <sz val="9"/>
        <rFont val="華康粗圓體"/>
        <family val="3"/>
      </rPr>
      <t>年底新住民家庭服務中心機構數</t>
    </r>
    <r>
      <rPr>
        <sz val="9"/>
        <rFont val="Arial Narrow"/>
        <family val="2"/>
      </rPr>
      <t>(</t>
    </r>
    <r>
      <rPr>
        <sz val="9"/>
        <rFont val="華康粗圓體"/>
        <family val="3"/>
      </rPr>
      <t>所</t>
    </r>
    <r>
      <rPr>
        <sz val="9"/>
        <rFont val="Arial Narrow"/>
        <family val="2"/>
      </rPr>
      <t>)</t>
    </r>
  </si>
  <si>
    <r>
      <rPr>
        <sz val="9"/>
        <rFont val="華康粗圓體"/>
        <family val="3"/>
      </rPr>
      <t>婦女團體組織
能力培訓</t>
    </r>
  </si>
  <si>
    <r>
      <rPr>
        <sz val="9"/>
        <rFont val="華康粗圓體"/>
        <family val="3"/>
      </rPr>
      <t>婦女團體領導人
培訓</t>
    </r>
  </si>
  <si>
    <r>
      <rPr>
        <sz val="9"/>
        <rFont val="華康粗圓體"/>
        <family val="3"/>
      </rPr>
      <t>性別意識培力
活動</t>
    </r>
  </si>
  <si>
    <r>
      <rPr>
        <sz val="9"/>
        <rFont val="華康粗圓體"/>
        <family val="3"/>
      </rPr>
      <t>性別師資培訓
課程</t>
    </r>
  </si>
  <si>
    <r>
      <rPr>
        <sz val="9"/>
        <rFont val="華康粗圓體"/>
        <family val="3"/>
      </rPr>
      <t>婦女相關議題之溝通平台或公共論壇</t>
    </r>
  </si>
  <si>
    <r>
      <rPr>
        <sz val="9"/>
        <rFont val="華康粗圓體"/>
        <family val="3"/>
      </rPr>
      <t>民國</t>
    </r>
    <r>
      <rPr>
        <sz val="9"/>
        <rFont val="Arial Narrow"/>
        <family val="2"/>
      </rPr>
      <t>106</t>
    </r>
    <r>
      <rPr>
        <sz val="9"/>
        <rFont val="華康粗圓體"/>
        <family val="3"/>
      </rPr>
      <t xml:space="preserve">年
</t>
    </r>
    <r>
      <rPr>
        <sz val="9"/>
        <rFont val="Arial Narrow"/>
        <family val="2"/>
      </rPr>
      <t>2017</t>
    </r>
  </si>
  <si>
    <r>
      <rPr>
        <sz val="9"/>
        <rFont val="華康粗圓體"/>
        <family val="3"/>
      </rPr>
      <t>資料來源：本府社會局。</t>
    </r>
  </si>
  <si>
    <r>
      <rPr>
        <sz val="9"/>
        <rFont val="華康粗圓體"/>
        <family val="3"/>
      </rPr>
      <t>說　　明：</t>
    </r>
    <r>
      <rPr>
        <sz val="9"/>
        <rFont val="Arial Narrow"/>
        <family val="2"/>
      </rPr>
      <t>1.</t>
    </r>
    <r>
      <rPr>
        <sz val="9"/>
        <rFont val="華康粗圓體"/>
        <family val="3"/>
      </rPr>
      <t>自</t>
    </r>
    <r>
      <rPr>
        <sz val="9"/>
        <rFont val="Arial Narrow"/>
        <family val="2"/>
      </rPr>
      <t>102</t>
    </r>
    <r>
      <rPr>
        <sz val="9"/>
        <rFont val="華康粗圓體"/>
        <family val="3"/>
      </rPr>
      <t>年起婦女法律諮詢、諮商輔導人次納入本府法務局及各區公所法律諮詢中心相關服務人次。</t>
    </r>
  </si>
  <si>
    <r>
      <rPr>
        <sz val="9"/>
        <color indexed="9"/>
        <rFont val="華康粗圓體"/>
        <family val="3"/>
      </rPr>
      <t>說　　明：</t>
    </r>
    <r>
      <rPr>
        <sz val="9"/>
        <rFont val="Arial Narrow"/>
        <family val="2"/>
      </rPr>
      <t>2.</t>
    </r>
    <r>
      <rPr>
        <sz val="9"/>
        <rFont val="華康粗圓體"/>
        <family val="3"/>
      </rPr>
      <t>自</t>
    </r>
    <r>
      <rPr>
        <sz val="9"/>
        <rFont val="Arial Narrow"/>
        <family val="2"/>
      </rPr>
      <t>103</t>
    </r>
    <r>
      <rPr>
        <sz val="9"/>
        <rFont val="華康粗圓體"/>
        <family val="3"/>
      </rPr>
      <t>年起婦女福利服務中心機構數納入各區家庭服務中心數。　</t>
    </r>
  </si>
  <si>
    <r>
      <rPr>
        <sz val="9"/>
        <color indexed="9"/>
        <rFont val="華康粗圓體"/>
        <family val="3"/>
      </rPr>
      <t>說　　明：</t>
    </r>
    <r>
      <rPr>
        <sz val="9"/>
        <rFont val="Arial Narrow"/>
        <family val="2"/>
      </rPr>
      <t>3.106</t>
    </r>
    <r>
      <rPr>
        <sz val="9"/>
        <rFont val="華康粗圓體"/>
        <family val="3"/>
      </rPr>
      <t>年起外籍配偶更名為新住民。</t>
    </r>
  </si>
  <si>
    <r>
      <rPr>
        <sz val="9"/>
        <color indexed="9"/>
        <rFont val="華康粗圓體"/>
        <family val="3"/>
      </rPr>
      <t>說　　明：</t>
    </r>
    <r>
      <rPr>
        <sz val="9"/>
        <rFont val="Arial Narrow"/>
        <family val="2"/>
      </rPr>
      <t>4.103</t>
    </r>
    <r>
      <rPr>
        <sz val="9"/>
        <rFont val="華康粗圓體"/>
        <family val="3"/>
      </rPr>
      <t>年及</t>
    </r>
    <r>
      <rPr>
        <sz val="9"/>
        <rFont val="Arial Narrow"/>
        <family val="2"/>
      </rPr>
      <t>106</t>
    </r>
    <r>
      <rPr>
        <sz val="9"/>
        <rFont val="華康粗圓體"/>
        <family val="3"/>
      </rPr>
      <t>年報表格式修訂，故本表格式異動。</t>
    </r>
  </si>
  <si>
    <t>Women's Related Issues of Communication Platform or Public Forum</t>
  </si>
  <si>
    <t>非社工
專業人員</t>
  </si>
  <si>
    <t>Note : 2.Indigenous emergency were included in the statistics since seccond quarter 2014.</t>
  </si>
  <si>
    <r>
      <t xml:space="preserve">Note : </t>
    </r>
    <r>
      <rPr>
        <sz val="10"/>
        <rFont val="Arial Narrow"/>
        <family val="2"/>
      </rPr>
      <t xml:space="preserve">3.Data of Department of Indigenous Affairs's indigenous emergency rescue were included in the form since 2017, </t>
    </r>
  </si>
  <si>
    <r>
      <t xml:space="preserve">Note :   </t>
    </r>
    <r>
      <rPr>
        <sz val="10"/>
        <rFont val="Arial Narrow"/>
        <family val="2"/>
      </rPr>
      <t>and they were not calculated in grand total.</t>
    </r>
  </si>
  <si>
    <r>
      <t>Note</t>
    </r>
    <r>
      <rPr>
        <sz val="10"/>
        <rFont val="華康粗圓體"/>
        <family val="3"/>
      </rPr>
      <t>：</t>
    </r>
    <r>
      <rPr>
        <sz val="10"/>
        <rFont val="Arial Narrow"/>
        <family val="2"/>
      </rPr>
      <t xml:space="preserve">1.Directors and Supervisors,Volunteers of Community Volunteer Service,Community Care Centers,and Achievements of Services </t>
    </r>
  </si>
  <si>
    <r>
      <rPr>
        <sz val="13"/>
        <rFont val="華康粗圓體"/>
        <family val="3"/>
      </rPr>
      <t>表</t>
    </r>
    <r>
      <rPr>
        <sz val="13"/>
        <rFont val="Arial Narrow"/>
        <family val="2"/>
      </rPr>
      <t>11-5</t>
    </r>
    <r>
      <rPr>
        <sz val="13"/>
        <rFont val="華康粗圓體"/>
        <family val="3"/>
      </rPr>
      <t>、推行社區發展工作成果</t>
    </r>
  </si>
  <si>
    <r>
      <rPr>
        <sz val="10"/>
        <rFont val="華康粗圓體"/>
        <family val="3"/>
      </rPr>
      <t>年度及
區別</t>
    </r>
  </si>
  <si>
    <r>
      <rPr>
        <sz val="9"/>
        <rFont val="華康粗圓體"/>
        <family val="3"/>
      </rPr>
      <t>社區發展
協</t>
    </r>
    <r>
      <rPr>
        <sz val="9"/>
        <rFont val="Arial Narrow"/>
        <family val="2"/>
      </rPr>
      <t xml:space="preserve"> </t>
    </r>
    <r>
      <rPr>
        <sz val="9"/>
        <rFont val="華康粗圓體"/>
        <family val="3"/>
      </rPr>
      <t>會</t>
    </r>
    <r>
      <rPr>
        <sz val="9"/>
        <rFont val="Arial Narrow"/>
        <family val="2"/>
      </rPr>
      <t xml:space="preserve"> </t>
    </r>
    <r>
      <rPr>
        <sz val="9"/>
        <rFont val="華康粗圓體"/>
        <family val="3"/>
      </rPr>
      <t>數</t>
    </r>
  </si>
  <si>
    <r>
      <rPr>
        <sz val="9"/>
        <rFont val="華康粗圓體"/>
        <family val="3"/>
      </rPr>
      <t>社區戶數</t>
    </r>
  </si>
  <si>
    <r>
      <rPr>
        <sz val="9"/>
        <rFont val="華康粗圓體"/>
        <family val="3"/>
      </rPr>
      <t>社　區
人口數</t>
    </r>
  </si>
  <si>
    <r>
      <rPr>
        <sz val="9"/>
        <rFont val="華康粗圓體"/>
        <family val="3"/>
      </rPr>
      <t>理監事
人　數</t>
    </r>
  </si>
  <si>
    <r>
      <rPr>
        <sz val="9"/>
        <rFont val="華康粗圓體"/>
        <family val="3"/>
      </rPr>
      <t>社區發展
協　　會
會</t>
    </r>
    <r>
      <rPr>
        <sz val="9"/>
        <rFont val="Arial Narrow"/>
        <family val="2"/>
      </rPr>
      <t xml:space="preserve"> </t>
    </r>
    <r>
      <rPr>
        <sz val="9"/>
        <rFont val="華康粗圓體"/>
        <family val="3"/>
      </rPr>
      <t>員</t>
    </r>
    <r>
      <rPr>
        <sz val="9"/>
        <rFont val="Arial Narrow"/>
        <family val="2"/>
      </rPr>
      <t xml:space="preserve"> </t>
    </r>
    <r>
      <rPr>
        <sz val="9"/>
        <rFont val="華康粗圓體"/>
        <family val="3"/>
      </rPr>
      <t>數</t>
    </r>
  </si>
  <si>
    <r>
      <rPr>
        <sz val="9"/>
        <rFont val="華康粗圓體"/>
        <family val="3"/>
      </rPr>
      <t>設　　置
社區生產
建設基金</t>
    </r>
  </si>
  <si>
    <r>
      <rPr>
        <sz val="9"/>
        <rFont val="華康粗圓體"/>
        <family val="3"/>
      </rPr>
      <t>實際使用經費</t>
    </r>
    <r>
      <rPr>
        <sz val="9"/>
        <rFont val="Arial Narrow"/>
        <family val="2"/>
      </rPr>
      <t>(</t>
    </r>
    <r>
      <rPr>
        <sz val="9"/>
        <rFont val="華康粗圓體"/>
        <family val="3"/>
      </rPr>
      <t>元</t>
    </r>
    <r>
      <rPr>
        <sz val="9"/>
        <rFont val="Arial Narrow"/>
        <family val="2"/>
      </rPr>
      <t>)</t>
    </r>
  </si>
  <si>
    <r>
      <rPr>
        <sz val="9"/>
        <rFont val="華康粗圓體"/>
        <family val="3"/>
      </rPr>
      <t>社　　區
活動中心</t>
    </r>
  </si>
  <si>
    <r>
      <rPr>
        <sz val="9"/>
        <rFont val="華康粗圓體"/>
        <family val="3"/>
      </rPr>
      <t>社區發展工作項目</t>
    </r>
  </si>
  <si>
    <r>
      <t>(</t>
    </r>
    <r>
      <rPr>
        <sz val="9"/>
        <rFont val="華康粗圓體"/>
        <family val="3"/>
      </rPr>
      <t>個</t>
    </r>
    <r>
      <rPr>
        <sz val="9"/>
        <rFont val="Arial Narrow"/>
        <family val="2"/>
      </rPr>
      <t>)</t>
    </r>
  </si>
  <si>
    <r>
      <t>(</t>
    </r>
    <r>
      <rPr>
        <sz val="9"/>
        <rFont val="華康粗圓體"/>
        <family val="3"/>
      </rPr>
      <t>戶</t>
    </r>
    <r>
      <rPr>
        <sz val="9"/>
        <rFont val="Arial Narrow"/>
        <family val="2"/>
      </rPr>
      <t>)</t>
    </r>
  </si>
  <si>
    <r>
      <t>(</t>
    </r>
    <r>
      <rPr>
        <sz val="9"/>
        <rFont val="華康粗圓體"/>
        <family val="3"/>
      </rPr>
      <t>人</t>
    </r>
    <r>
      <rPr>
        <sz val="9"/>
        <rFont val="Arial Narrow"/>
        <family val="2"/>
      </rPr>
      <t>)</t>
    </r>
  </si>
  <si>
    <r>
      <t>(</t>
    </r>
    <r>
      <rPr>
        <sz val="9"/>
        <rFont val="華康粗圓體"/>
        <family val="3"/>
      </rPr>
      <t>人</t>
    </r>
    <r>
      <rPr>
        <sz val="9"/>
        <rFont val="Arial Narrow"/>
        <family val="2"/>
      </rPr>
      <t>)</t>
    </r>
  </si>
  <si>
    <r>
      <rPr>
        <sz val="9"/>
        <rFont val="華康粗圓體"/>
        <family val="3"/>
      </rPr>
      <t>政府
補助款</t>
    </r>
  </si>
  <si>
    <r>
      <rPr>
        <sz val="9"/>
        <rFont val="華康粗圓體"/>
        <family val="3"/>
      </rPr>
      <t>社區
自籌款</t>
    </r>
  </si>
  <si>
    <r>
      <t>(</t>
    </r>
    <r>
      <rPr>
        <sz val="9"/>
        <rFont val="華康粗圓體"/>
        <family val="3"/>
      </rPr>
      <t>幢</t>
    </r>
    <r>
      <rPr>
        <sz val="9"/>
        <rFont val="Arial Narrow"/>
        <family val="2"/>
      </rPr>
      <t>)</t>
    </r>
  </si>
  <si>
    <r>
      <rPr>
        <sz val="9"/>
        <rFont val="華康粗圓體"/>
        <family val="3"/>
      </rPr>
      <t>辦理社區幹部訓練</t>
    </r>
  </si>
  <si>
    <r>
      <rPr>
        <sz val="9"/>
        <rFont val="華康粗圓體"/>
        <family val="3"/>
      </rPr>
      <t>辦理
社區
觀摩</t>
    </r>
  </si>
  <si>
    <r>
      <rPr>
        <sz val="9"/>
        <rFont val="華康粗圓體"/>
        <family val="3"/>
      </rPr>
      <t>社區
長壽
俱樂部</t>
    </r>
  </si>
  <si>
    <r>
      <rPr>
        <sz val="9"/>
        <rFont val="華康粗圓體"/>
        <family val="3"/>
      </rPr>
      <t xml:space="preserve">社區成長教室
</t>
    </r>
  </si>
  <si>
    <r>
      <rPr>
        <sz val="9"/>
        <rFont val="華康粗圓體"/>
        <family val="3"/>
      </rPr>
      <t>社區
守望
相助隊</t>
    </r>
  </si>
  <si>
    <r>
      <rPr>
        <sz val="9"/>
        <rFont val="華康粗圓體"/>
        <family val="3"/>
      </rPr>
      <t>社區民俗藝文康樂班隊</t>
    </r>
  </si>
  <si>
    <r>
      <rPr>
        <sz val="9"/>
        <rFont val="華康粗圓體"/>
        <family val="3"/>
      </rPr>
      <t xml:space="preserve">社區志願服務
</t>
    </r>
    <r>
      <rPr>
        <sz val="9"/>
        <rFont val="Arial Narrow"/>
        <family val="2"/>
      </rPr>
      <t>Community Volunteer Service</t>
    </r>
  </si>
  <si>
    <r>
      <rPr>
        <sz val="9"/>
        <rFont val="華康粗圓體"/>
        <family val="3"/>
      </rPr>
      <t>辦理社區照顧關懷據點</t>
    </r>
  </si>
  <si>
    <r>
      <rPr>
        <sz val="9"/>
        <rFont val="華康粗圓體"/>
        <family val="3"/>
      </rPr>
      <t>社　區
圖書室　　</t>
    </r>
  </si>
  <si>
    <r>
      <rPr>
        <sz val="9"/>
        <rFont val="華康粗圓體"/>
        <family val="3"/>
      </rPr>
      <t>社區
刊物</t>
    </r>
  </si>
  <si>
    <r>
      <rPr>
        <sz val="9"/>
        <rFont val="華康粗圓體"/>
        <family val="3"/>
      </rPr>
      <t xml:space="preserve">服務成果
</t>
    </r>
    <r>
      <rPr>
        <sz val="9"/>
        <rFont val="Arial Narrow"/>
        <family val="2"/>
      </rPr>
      <t>Achievements of Services</t>
    </r>
  </si>
  <si>
    <r>
      <rPr>
        <sz val="10"/>
        <color indexed="9"/>
        <rFont val="Arial Narrow"/>
        <family val="2"/>
      </rPr>
      <t>Note</t>
    </r>
    <r>
      <rPr>
        <sz val="10"/>
        <color indexed="9"/>
        <rFont val="華康粗圓體"/>
        <family val="3"/>
      </rPr>
      <t>：</t>
    </r>
    <r>
      <rPr>
        <sz val="10"/>
        <color indexed="9"/>
        <rFont val="Arial Narrow"/>
        <family val="2"/>
      </rPr>
      <t xml:space="preserve">   </t>
    </r>
    <r>
      <rPr>
        <sz val="10"/>
        <rFont val="Arial Narrow"/>
        <family val="2"/>
      </rPr>
      <t>were included in the statistics since 2012.</t>
    </r>
  </si>
  <si>
    <r>
      <rPr>
        <sz val="10"/>
        <rFont val="華康粗圓體"/>
        <family val="3"/>
      </rPr>
      <t>說明：</t>
    </r>
    <r>
      <rPr>
        <sz val="10"/>
        <rFont val="Arial Narrow"/>
        <family val="2"/>
      </rPr>
      <t>1.101</t>
    </r>
    <r>
      <rPr>
        <sz val="10"/>
        <rFont val="華康粗圓體"/>
        <family val="3"/>
      </rPr>
      <t>年起始有理監事人數、社區志願服務志工數、辦理社區照顧關懷據點及服務成果相關統計。</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</si>
</sst>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00;[Red]#,##0.00"/>
    <numFmt numFmtId="178" formatCode="#,##0;\-#,##0;&quot;－&quot;"/>
    <numFmt numFmtId="179" formatCode="_(* #,##0_);_(* \(#,##0\);_(* &quot;-&quot;_);_(@_)"/>
    <numFmt numFmtId="180" formatCode="_-* #,##0_-;\-* #,##0_-;_-* &quot;-&quot;??_-;_-@_-"/>
    <numFmt numFmtId="181" formatCode="#,##0_ "/>
    <numFmt numFmtId="182" formatCode="###,##0"/>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m&quot;月&quot;d&quot;日&quot;"/>
    <numFmt numFmtId="190" formatCode="[$-404]AM/PM\ hh:mm:ss"/>
    <numFmt numFmtId="191" formatCode="0.00_);[Red]\(0.00\)"/>
    <numFmt numFmtId="192" formatCode="0_ "/>
    <numFmt numFmtId="193" formatCode="&quot;   &quot;* #,##0;&quot;－ &quot;\ #,##0;&quot;—&quot;"/>
    <numFmt numFmtId="194" formatCode="#,##0_);[Red]\(#,##0\)"/>
    <numFmt numFmtId="195" formatCode="_-* #,##0.0_-;\-* #,##0.0_-;_-* &quot;-&quot;?_-;_-@_-"/>
    <numFmt numFmtId="196" formatCode="&quot;   &quot;* #,##0;&quot;－ &quot;\ #,##0;&quot;-&quot;"/>
    <numFmt numFmtId="197" formatCode="&quot;-&quot;"/>
    <numFmt numFmtId="198" formatCode="_-* #,##0.0_-;\-* #,##0.0_-;_-* &quot;-&quot;??_-;_-@_-"/>
    <numFmt numFmtId="199" formatCode="#,##0;\-\,##0;&quot;－&quot;"/>
    <numFmt numFmtId="200" formatCode="#,##0;\-\,##0;&quot;-&quot;"/>
    <numFmt numFmtId="201" formatCode="0.000000"/>
    <numFmt numFmtId="202" formatCode="0.00000"/>
    <numFmt numFmtId="203" formatCode="0.0000"/>
    <numFmt numFmtId="204" formatCode="0.000"/>
    <numFmt numFmtId="205" formatCode="#,##0;\-#,##0;&quot; －&quot;"/>
    <numFmt numFmtId="206" formatCode="#,##0;\-#,##0;&quot;   －&quot;"/>
    <numFmt numFmtId="207" formatCode="#,##0;\-#,##0;\-"/>
    <numFmt numFmtId="208" formatCode="#,##0.0;[Red]#,##0.0"/>
    <numFmt numFmtId="209" formatCode="0_);[Red]\(0\)"/>
    <numFmt numFmtId="210" formatCode="0.00_ "/>
    <numFmt numFmtId="211" formatCode="_-* #,##0.0_-;\-* #,##0.0_-;_-* &quot;-&quot;_-;_-@_-"/>
    <numFmt numFmtId="212" formatCode="_-* #,##0.00_-;\-* #,##0.00_-;_-* &quot;-&quot;_-;_-@_-"/>
    <numFmt numFmtId="213" formatCode="_-* #,##0.000_-;\-* #,##0.000_-;_-* &quot;-&quot;??_-;_-@_-"/>
  </numFmts>
  <fonts count="129">
    <font>
      <sz val="12"/>
      <name val="新細明體"/>
      <family val="1"/>
    </font>
    <font>
      <sz val="12"/>
      <color indexed="8"/>
      <name val="標楷體"/>
      <family val="4"/>
    </font>
    <font>
      <sz val="9"/>
      <name val="Arial Narrow"/>
      <family val="2"/>
    </font>
    <font>
      <sz val="9"/>
      <name val="標楷體"/>
      <family val="4"/>
    </font>
    <font>
      <sz val="9"/>
      <name val="細明體"/>
      <family val="3"/>
    </font>
    <font>
      <sz val="12"/>
      <name val="Arial"/>
      <family val="2"/>
    </font>
    <font>
      <sz val="9"/>
      <name val="新細明體"/>
      <family val="1"/>
    </font>
    <font>
      <sz val="9"/>
      <name val="華康粗圓體"/>
      <family val="3"/>
    </font>
    <font>
      <sz val="8.5"/>
      <name val="華康粗圓體"/>
      <family val="3"/>
    </font>
    <font>
      <sz val="12"/>
      <name val="Times New Roman"/>
      <family val="1"/>
    </font>
    <font>
      <sz val="8.5"/>
      <name val="Arial Narrow"/>
      <family val="2"/>
    </font>
    <font>
      <sz val="18"/>
      <name val="新細明體"/>
      <family val="1"/>
    </font>
    <font>
      <sz val="8"/>
      <color indexed="8"/>
      <name val="華康中黑體"/>
      <family val="3"/>
    </font>
    <font>
      <sz val="9"/>
      <name val="Times New Roman"/>
      <family val="1"/>
    </font>
    <font>
      <b/>
      <sz val="9"/>
      <name val="細明體"/>
      <family val="3"/>
    </font>
    <font>
      <b/>
      <sz val="9"/>
      <name val="Tahoma"/>
      <family val="2"/>
    </font>
    <font>
      <sz val="9"/>
      <name val="Tahoma"/>
      <family val="2"/>
    </font>
    <font>
      <sz val="7.5"/>
      <name val="Arial Narrow"/>
      <family val="2"/>
    </font>
    <font>
      <b/>
      <sz val="9"/>
      <name val="新細明體"/>
      <family val="1"/>
    </font>
    <font>
      <sz val="10"/>
      <name val="Times New Roman"/>
      <family val="1"/>
    </font>
    <font>
      <b/>
      <sz val="12"/>
      <name val="Times"/>
      <family val="1"/>
    </font>
    <font>
      <sz val="10"/>
      <name val="Arial Narrow"/>
      <family val="2"/>
    </font>
    <font>
      <sz val="10"/>
      <name val="華康粗圓體"/>
      <family val="3"/>
    </font>
    <font>
      <sz val="10"/>
      <color indexed="10"/>
      <name val="Arial Narrow"/>
      <family val="2"/>
    </font>
    <font>
      <sz val="10"/>
      <color indexed="8"/>
      <name val="Arial Narrow"/>
      <family val="2"/>
    </font>
    <font>
      <sz val="10"/>
      <color indexed="8"/>
      <name val="華康粗圓體"/>
      <family val="3"/>
    </font>
    <font>
      <sz val="10"/>
      <color indexed="9"/>
      <name val="Arial Narrow"/>
      <family val="2"/>
    </font>
    <font>
      <b/>
      <sz val="10"/>
      <name val="Arial Narrow"/>
      <family val="2"/>
    </font>
    <font>
      <b/>
      <sz val="10"/>
      <name val="華康粗圓體"/>
      <family val="3"/>
    </font>
    <font>
      <sz val="13"/>
      <name val="華康粗圓體"/>
      <family val="3"/>
    </font>
    <font>
      <sz val="13"/>
      <name val="Arial Narrow"/>
      <family val="2"/>
    </font>
    <font>
      <sz val="8.6"/>
      <name val="Arial Narrow"/>
      <family val="2"/>
    </font>
    <font>
      <sz val="9.5"/>
      <name val="Arial Narrow"/>
      <family val="2"/>
    </font>
    <font>
      <sz val="9.5"/>
      <name val="華康粗圓體"/>
      <family val="3"/>
    </font>
    <font>
      <sz val="8"/>
      <name val="Arial Narrow"/>
      <family val="2"/>
    </font>
    <font>
      <sz val="8"/>
      <name val="華康粗圓體"/>
      <family val="3"/>
    </font>
    <font>
      <sz val="10"/>
      <color indexed="9"/>
      <name val="華康粗圓體"/>
      <family val="3"/>
    </font>
    <font>
      <sz val="9"/>
      <color indexed="9"/>
      <name val="華康粗圓體"/>
      <family val="3"/>
    </font>
    <font>
      <sz val="20"/>
      <name val="Arial Narrow"/>
      <family val="2"/>
    </font>
    <font>
      <b/>
      <sz val="14"/>
      <color indexed="10"/>
      <name val="Arial Narrow"/>
      <family val="2"/>
    </font>
    <font>
      <b/>
      <sz val="18"/>
      <color indexed="10"/>
      <name val="Arial Narrow"/>
      <family val="2"/>
    </font>
    <font>
      <b/>
      <sz val="14"/>
      <name val="細明體"/>
      <family val="3"/>
    </font>
    <font>
      <sz val="10"/>
      <name val="BatangChe"/>
      <family val="3"/>
    </font>
    <font>
      <b/>
      <sz val="12"/>
      <name val="細明體"/>
      <family val="3"/>
    </font>
    <font>
      <b/>
      <sz val="14"/>
      <color indexed="10"/>
      <name val="華康粗圓體"/>
      <family val="3"/>
    </font>
    <font>
      <b/>
      <sz val="11"/>
      <color indexed="10"/>
      <name val="華康粗圓體"/>
      <family val="3"/>
    </font>
    <font>
      <b/>
      <sz val="18"/>
      <color indexed="10"/>
      <name val="華康粗圓體"/>
      <family val="3"/>
    </font>
    <font>
      <b/>
      <sz val="9"/>
      <color indexed="10"/>
      <name val="華康粗圓體"/>
      <family val="3"/>
    </font>
    <font>
      <b/>
      <sz val="9"/>
      <color indexed="10"/>
      <name val="Arial Narrow"/>
      <family val="2"/>
    </font>
    <font>
      <sz val="12"/>
      <color indexed="8"/>
      <name val="新細明體"/>
      <family val="1"/>
    </font>
    <font>
      <sz val="12"/>
      <color indexed="9"/>
      <name val="標楷體"/>
      <family val="4"/>
    </font>
    <font>
      <sz val="12"/>
      <color indexed="9"/>
      <name val="新細明體"/>
      <family val="1"/>
    </font>
    <font>
      <u val="single"/>
      <sz val="12"/>
      <color indexed="20"/>
      <name val="新細明體"/>
      <family val="1"/>
    </font>
    <font>
      <sz val="12"/>
      <color indexed="60"/>
      <name val="標楷體"/>
      <family val="4"/>
    </font>
    <font>
      <sz val="12"/>
      <color indexed="60"/>
      <name val="新細明體"/>
      <family val="1"/>
    </font>
    <font>
      <b/>
      <sz val="12"/>
      <color indexed="8"/>
      <name val="標楷體"/>
      <family val="4"/>
    </font>
    <font>
      <b/>
      <sz val="12"/>
      <color indexed="8"/>
      <name val="新細明體"/>
      <family val="1"/>
    </font>
    <font>
      <sz val="12"/>
      <color indexed="17"/>
      <name val="標楷體"/>
      <family val="4"/>
    </font>
    <font>
      <sz val="12"/>
      <color indexed="17"/>
      <name val="新細明體"/>
      <family val="1"/>
    </font>
    <font>
      <b/>
      <sz val="12"/>
      <color indexed="52"/>
      <name val="標楷體"/>
      <family val="4"/>
    </font>
    <font>
      <b/>
      <sz val="12"/>
      <color indexed="52"/>
      <name val="新細明體"/>
      <family val="1"/>
    </font>
    <font>
      <sz val="12"/>
      <color indexed="52"/>
      <name val="標楷體"/>
      <family val="4"/>
    </font>
    <font>
      <sz val="12"/>
      <color indexed="52"/>
      <name val="新細明體"/>
      <family val="1"/>
    </font>
    <font>
      <u val="single"/>
      <sz val="12"/>
      <color indexed="12"/>
      <name val="新細明體"/>
      <family val="1"/>
    </font>
    <font>
      <i/>
      <sz val="12"/>
      <color indexed="23"/>
      <name val="標楷體"/>
      <family val="4"/>
    </font>
    <font>
      <i/>
      <sz val="12"/>
      <color indexed="23"/>
      <name val="新細明體"/>
      <family val="1"/>
    </font>
    <font>
      <b/>
      <sz val="18"/>
      <color indexed="56"/>
      <name val="新細明體"/>
      <family val="1"/>
    </font>
    <font>
      <b/>
      <sz val="15"/>
      <color indexed="56"/>
      <name val="標楷體"/>
      <family val="4"/>
    </font>
    <font>
      <b/>
      <sz val="15"/>
      <color indexed="56"/>
      <name val="新細明體"/>
      <family val="1"/>
    </font>
    <font>
      <b/>
      <sz val="13"/>
      <color indexed="56"/>
      <name val="標楷體"/>
      <family val="4"/>
    </font>
    <font>
      <b/>
      <sz val="13"/>
      <color indexed="56"/>
      <name val="新細明體"/>
      <family val="1"/>
    </font>
    <font>
      <b/>
      <sz val="11"/>
      <color indexed="56"/>
      <name val="標楷體"/>
      <family val="4"/>
    </font>
    <font>
      <b/>
      <sz val="11"/>
      <color indexed="56"/>
      <name val="新細明體"/>
      <family val="1"/>
    </font>
    <font>
      <sz val="12"/>
      <color indexed="62"/>
      <name val="標楷體"/>
      <family val="4"/>
    </font>
    <font>
      <sz val="12"/>
      <color indexed="62"/>
      <name val="新細明體"/>
      <family val="1"/>
    </font>
    <font>
      <b/>
      <sz val="12"/>
      <color indexed="63"/>
      <name val="標楷體"/>
      <family val="4"/>
    </font>
    <font>
      <b/>
      <sz val="12"/>
      <color indexed="63"/>
      <name val="新細明體"/>
      <family val="1"/>
    </font>
    <font>
      <b/>
      <sz val="12"/>
      <color indexed="9"/>
      <name val="標楷體"/>
      <family val="4"/>
    </font>
    <font>
      <b/>
      <sz val="12"/>
      <color indexed="9"/>
      <name val="新細明體"/>
      <family val="1"/>
    </font>
    <font>
      <sz val="12"/>
      <color indexed="20"/>
      <name val="標楷體"/>
      <family val="4"/>
    </font>
    <font>
      <sz val="12"/>
      <color indexed="20"/>
      <name val="新細明體"/>
      <family val="1"/>
    </font>
    <font>
      <sz val="12"/>
      <color indexed="10"/>
      <name val="標楷體"/>
      <family val="4"/>
    </font>
    <font>
      <sz val="12"/>
      <color indexed="10"/>
      <name val="新細明體"/>
      <family val="1"/>
    </font>
    <font>
      <b/>
      <sz val="12"/>
      <color indexed="56"/>
      <name val="Arial Narrow"/>
      <family val="2"/>
    </font>
    <font>
      <sz val="14"/>
      <color indexed="10"/>
      <name val="Arial Narrow"/>
      <family val="2"/>
    </font>
    <font>
      <b/>
      <sz val="11"/>
      <color indexed="10"/>
      <name val="Arial Narrow"/>
      <family val="2"/>
    </font>
    <font>
      <sz val="12"/>
      <color theme="1"/>
      <name val="標楷體"/>
      <family val="4"/>
    </font>
    <font>
      <sz val="12"/>
      <color theme="1"/>
      <name val="Calibri"/>
      <family val="1"/>
    </font>
    <font>
      <sz val="12"/>
      <color theme="0"/>
      <name val="標楷體"/>
      <family val="4"/>
    </font>
    <font>
      <sz val="12"/>
      <color theme="0"/>
      <name val="Calibri"/>
      <family val="1"/>
    </font>
    <font>
      <u val="single"/>
      <sz val="12"/>
      <color theme="11"/>
      <name val="新細明體"/>
      <family val="1"/>
    </font>
    <font>
      <sz val="12"/>
      <color rgb="FF9C6500"/>
      <name val="標楷體"/>
      <family val="4"/>
    </font>
    <font>
      <sz val="12"/>
      <color rgb="FF9C6500"/>
      <name val="Calibri"/>
      <family val="1"/>
    </font>
    <font>
      <b/>
      <sz val="12"/>
      <color theme="1"/>
      <name val="標楷體"/>
      <family val="4"/>
    </font>
    <font>
      <b/>
      <sz val="12"/>
      <color theme="1"/>
      <name val="Calibri"/>
      <family val="1"/>
    </font>
    <font>
      <sz val="12"/>
      <color rgb="FF006100"/>
      <name val="標楷體"/>
      <family val="4"/>
    </font>
    <font>
      <sz val="12"/>
      <color rgb="FF006100"/>
      <name val="Calibri"/>
      <family val="1"/>
    </font>
    <font>
      <b/>
      <sz val="12"/>
      <color rgb="FFFA7D00"/>
      <name val="標楷體"/>
      <family val="4"/>
    </font>
    <font>
      <b/>
      <sz val="12"/>
      <color rgb="FFFA7D00"/>
      <name val="Calibri"/>
      <family val="1"/>
    </font>
    <font>
      <sz val="12"/>
      <color rgb="FFFA7D00"/>
      <name val="標楷體"/>
      <family val="4"/>
    </font>
    <font>
      <sz val="12"/>
      <color rgb="FFFA7D00"/>
      <name val="Calibri"/>
      <family val="1"/>
    </font>
    <font>
      <u val="single"/>
      <sz val="12"/>
      <color theme="10"/>
      <name val="新細明體"/>
      <family val="1"/>
    </font>
    <font>
      <i/>
      <sz val="12"/>
      <color rgb="FF7F7F7F"/>
      <name val="標楷體"/>
      <family val="4"/>
    </font>
    <font>
      <i/>
      <sz val="12"/>
      <color rgb="FF7F7F7F"/>
      <name val="Calibri"/>
      <family val="1"/>
    </font>
    <font>
      <b/>
      <sz val="18"/>
      <color theme="3"/>
      <name val="Cambria"/>
      <family val="1"/>
    </font>
    <font>
      <b/>
      <sz val="15"/>
      <color theme="3"/>
      <name val="標楷體"/>
      <family val="4"/>
    </font>
    <font>
      <b/>
      <sz val="15"/>
      <color theme="3"/>
      <name val="Calibri"/>
      <family val="1"/>
    </font>
    <font>
      <b/>
      <sz val="13"/>
      <color theme="3"/>
      <name val="標楷體"/>
      <family val="4"/>
    </font>
    <font>
      <b/>
      <sz val="13"/>
      <color theme="3"/>
      <name val="Calibri"/>
      <family val="1"/>
    </font>
    <font>
      <b/>
      <sz val="11"/>
      <color theme="3"/>
      <name val="標楷體"/>
      <family val="4"/>
    </font>
    <font>
      <b/>
      <sz val="11"/>
      <color theme="3"/>
      <name val="Calibri"/>
      <family val="1"/>
    </font>
    <font>
      <sz val="12"/>
      <color rgb="FF3F3F76"/>
      <name val="標楷體"/>
      <family val="4"/>
    </font>
    <font>
      <sz val="12"/>
      <color rgb="FF3F3F76"/>
      <name val="Calibri"/>
      <family val="1"/>
    </font>
    <font>
      <b/>
      <sz val="12"/>
      <color rgb="FF3F3F3F"/>
      <name val="標楷體"/>
      <family val="4"/>
    </font>
    <font>
      <b/>
      <sz val="12"/>
      <color rgb="FF3F3F3F"/>
      <name val="Calibri"/>
      <family val="1"/>
    </font>
    <font>
      <b/>
      <sz val="12"/>
      <color theme="0"/>
      <name val="標楷體"/>
      <family val="4"/>
    </font>
    <font>
      <b/>
      <sz val="12"/>
      <color theme="0"/>
      <name val="Calibri"/>
      <family val="1"/>
    </font>
    <font>
      <sz val="12"/>
      <color rgb="FF9C0006"/>
      <name val="標楷體"/>
      <family val="4"/>
    </font>
    <font>
      <sz val="12"/>
      <color rgb="FF9C0006"/>
      <name val="Calibri"/>
      <family val="1"/>
    </font>
    <font>
      <sz val="12"/>
      <color rgb="FFFF0000"/>
      <name val="標楷體"/>
      <family val="4"/>
    </font>
    <font>
      <sz val="12"/>
      <color rgb="FFFF0000"/>
      <name val="Calibri"/>
      <family val="1"/>
    </font>
    <font>
      <b/>
      <sz val="12"/>
      <color theme="3" tint="-0.4999699890613556"/>
      <name val="Arial Narrow"/>
      <family val="2"/>
    </font>
    <font>
      <sz val="14"/>
      <color rgb="FFFF0000"/>
      <name val="Arial Narrow"/>
      <family val="2"/>
    </font>
    <font>
      <b/>
      <sz val="18"/>
      <color rgb="FFFF0000"/>
      <name val="Arial Narrow"/>
      <family val="2"/>
    </font>
    <font>
      <sz val="10"/>
      <color theme="1"/>
      <name val="Arial Narrow"/>
      <family val="2"/>
    </font>
    <font>
      <sz val="10"/>
      <color theme="0"/>
      <name val="Arial Narrow"/>
      <family val="2"/>
    </font>
    <font>
      <b/>
      <sz val="11"/>
      <color rgb="FFFF0000"/>
      <name val="Arial Narrow"/>
      <family val="2"/>
    </font>
    <font>
      <b/>
      <sz val="9"/>
      <color rgb="FFFF0000"/>
      <name val="Arial Narrow"/>
      <family val="2"/>
    </font>
    <font>
      <b/>
      <sz val="8"/>
      <name val="新細明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58">
    <border>
      <left/>
      <right/>
      <top/>
      <bottom/>
      <diagonal/>
    </border>
    <border>
      <left>
        <color indexed="63"/>
      </left>
      <right>
        <color indexed="63"/>
      </right>
      <top style="thin">
        <color theme="4"/>
      </top>
      <bottom style="double">
        <color theme="4"/>
      </bottom>
    </border>
    <border>
      <left/>
      <right style="thin"/>
      <top/>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style="medium"/>
      <top/>
      <bottom/>
    </border>
    <border>
      <left style="thin"/>
      <right style="thin"/>
      <top style="thin"/>
      <bottom/>
    </border>
    <border>
      <left/>
      <right style="thin"/>
      <top style="thin"/>
      <bottom/>
    </border>
    <border>
      <left style="thin"/>
      <right/>
      <top style="thin"/>
      <bottom/>
    </border>
    <border>
      <left style="thin"/>
      <right style="thin"/>
      <top/>
      <bottom style="medium"/>
    </border>
    <border>
      <left style="medium"/>
      <right/>
      <top/>
      <bottom/>
    </border>
    <border>
      <left style="medium"/>
      <right/>
      <top/>
      <bottom style="medium"/>
    </border>
    <border>
      <left/>
      <right style="thin"/>
      <top/>
      <bottom style="medium"/>
    </border>
    <border>
      <left style="thin"/>
      <right/>
      <top/>
      <bottom style="medium"/>
    </border>
    <border>
      <left/>
      <right style="medium"/>
      <top/>
      <bottom style="medium"/>
    </border>
    <border>
      <left/>
      <right/>
      <top style="medium"/>
      <bottom/>
    </border>
    <border>
      <left style="thin"/>
      <right/>
      <top/>
      <bottom/>
    </border>
    <border>
      <left style="medium"/>
      <right/>
      <top style="medium"/>
      <bottom/>
    </border>
    <border>
      <left style="medium"/>
      <right style="thin"/>
      <top style="thin"/>
      <bottom/>
    </border>
    <border>
      <left style="medium"/>
      <right style="thin"/>
      <top/>
      <bottom style="medium"/>
    </border>
    <border>
      <left/>
      <right>
        <color indexed="63"/>
      </right>
      <top style="medium"/>
      <bottom style="medium"/>
    </border>
    <border>
      <left/>
      <right/>
      <top style="thin"/>
      <bottom style="thin"/>
    </border>
    <border>
      <left style="thin"/>
      <right style="thin"/>
      <top/>
      <bottom/>
    </border>
    <border>
      <left>
        <color indexed="63"/>
      </left>
      <right/>
      <top style="thin"/>
      <bottom/>
    </border>
    <border>
      <left style="thin"/>
      <right style="thin"/>
      <top>
        <color indexed="63"/>
      </top>
      <bottom style="thin"/>
    </border>
    <border>
      <left/>
      <right style="medium"/>
      <top style="medium"/>
      <bottom/>
    </border>
    <border>
      <left style="medium"/>
      <right/>
      <top style="thin"/>
      <bottom/>
    </border>
    <border>
      <left style="medium"/>
      <right style="thin"/>
      <top/>
      <bottom/>
    </border>
    <border>
      <left/>
      <right style="thin"/>
      <top style="medium"/>
      <bottom/>
    </border>
    <border>
      <left style="thin"/>
      <right/>
      <top style="medium"/>
      <bottom/>
    </border>
    <border>
      <left style="thin"/>
      <right/>
      <top style="medium"/>
      <bottom style="thin"/>
    </border>
    <border>
      <left style="double"/>
      <right style="thin"/>
      <top/>
      <bottom style="medium"/>
    </border>
    <border>
      <left style="double"/>
      <right style="thin"/>
      <top style="thin"/>
      <bottom/>
    </border>
    <border>
      <left style="medium"/>
      <right/>
      <top/>
      <bottom style="thin"/>
    </border>
    <border>
      <left>
        <color indexed="63"/>
      </left>
      <right>
        <color indexed="63"/>
      </right>
      <top/>
      <bottom style="thin"/>
    </border>
    <border>
      <left>
        <color indexed="63"/>
      </left>
      <right style="thin"/>
      <top/>
      <bottom style="thin"/>
    </border>
    <border>
      <left style="thin"/>
      <right>
        <color indexed="63"/>
      </right>
      <top/>
      <bottom style="thin"/>
    </border>
    <border>
      <left style="medium"/>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style="thin"/>
      <bottom style="thin"/>
    </border>
    <border>
      <left style="thin"/>
      <right/>
      <top style="thin"/>
      <bottom style="thin"/>
    </border>
    <border>
      <left style="medium"/>
      <right style="thin"/>
      <top style="medium"/>
      <bottom/>
    </border>
    <border>
      <left style="medium"/>
      <right style="thin"/>
      <top>
        <color indexed="63"/>
      </top>
      <bottom style="thin"/>
    </border>
    <border>
      <left/>
      <right style="thin"/>
      <top style="thin"/>
      <bottom style="thin"/>
    </border>
    <border>
      <left style="medium"/>
      <right>
        <color indexed="63"/>
      </right>
      <top style="thin"/>
      <bottom style="thin"/>
    </border>
    <border>
      <left style="thin"/>
      <right style="thin"/>
      <top style="medium"/>
      <bottom style="thin"/>
    </border>
    <border>
      <left style="double"/>
      <right/>
      <top style="medium"/>
      <bottom/>
    </border>
    <border>
      <left style="double"/>
      <right/>
      <top/>
      <bottom/>
    </border>
    <border>
      <left style="double"/>
      <right>
        <color indexed="63"/>
      </right>
      <top/>
      <bottom style="thin"/>
    </border>
  </borders>
  <cellStyleXfs count="269">
    <xf numFmtId="0" fontId="0" fillId="0" borderId="0">
      <alignment vertical="center"/>
      <protection/>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6" fillId="3" borderId="0" applyNumberFormat="0" applyBorder="0" applyAlignment="0" applyProtection="0"/>
    <xf numFmtId="0" fontId="87" fillId="3" borderId="0" applyNumberFormat="0" applyBorder="0" applyAlignment="0" applyProtection="0"/>
    <xf numFmtId="0" fontId="87" fillId="3" borderId="0" applyNumberFormat="0" applyBorder="0" applyAlignment="0" applyProtection="0"/>
    <xf numFmtId="0" fontId="87" fillId="3" borderId="0" applyNumberFormat="0" applyBorder="0" applyAlignment="0" applyProtection="0"/>
    <xf numFmtId="0" fontId="87" fillId="3" borderId="0" applyNumberFormat="0" applyBorder="0" applyAlignment="0" applyProtection="0"/>
    <xf numFmtId="0" fontId="86"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6"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6"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6" fillId="7" borderId="0" applyNumberFormat="0" applyBorder="0" applyAlignment="0" applyProtection="0"/>
    <xf numFmtId="0" fontId="87" fillId="7" borderId="0" applyNumberFormat="0" applyBorder="0" applyAlignment="0" applyProtection="0"/>
    <xf numFmtId="0" fontId="87" fillId="7" borderId="0" applyNumberFormat="0" applyBorder="0" applyAlignment="0" applyProtection="0"/>
    <xf numFmtId="0" fontId="87" fillId="7" borderId="0" applyNumberFormat="0" applyBorder="0" applyAlignment="0" applyProtection="0"/>
    <xf numFmtId="0" fontId="87" fillId="7" borderId="0" applyNumberFormat="0" applyBorder="0" applyAlignment="0" applyProtection="0"/>
    <xf numFmtId="0" fontId="86"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6"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6"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6"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6"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6"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8"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8"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8"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8"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8"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19" fillId="0" borderId="0" applyNumberFormat="0" applyFont="0" applyBorder="0" applyAlignment="0">
      <protection/>
    </xf>
    <xf numFmtId="0" fontId="0"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vertical="center"/>
      <protection/>
    </xf>
    <xf numFmtId="0" fontId="0" fillId="0" borderId="0">
      <alignment/>
      <protection/>
    </xf>
    <xf numFmtId="0" fontId="87" fillId="0" borderId="0">
      <alignment vertical="center"/>
      <protection/>
    </xf>
    <xf numFmtId="0" fontId="0" fillId="0" borderId="0">
      <alignment/>
      <protection/>
    </xf>
    <xf numFmtId="0" fontId="87" fillId="0" borderId="0">
      <alignment vertical="center"/>
      <protection/>
    </xf>
    <xf numFmtId="0" fontId="0" fillId="0" borderId="0">
      <alignment/>
      <protection/>
    </xf>
    <xf numFmtId="0" fontId="0" fillId="0" borderId="0">
      <alignment/>
      <protection/>
    </xf>
    <xf numFmtId="0" fontId="87" fillId="0" borderId="0">
      <alignment vertical="center"/>
      <protection/>
    </xf>
    <xf numFmtId="0" fontId="0" fillId="0" borderId="0">
      <alignment/>
      <protection/>
    </xf>
    <xf numFmtId="0" fontId="87" fillId="0" borderId="0">
      <alignment vertical="center"/>
      <protection/>
    </xf>
    <xf numFmtId="0" fontId="9" fillId="0" borderId="0">
      <alignment/>
      <protection/>
    </xf>
    <xf numFmtId="0" fontId="87" fillId="0" borderId="0">
      <alignment vertical="center"/>
      <protection/>
    </xf>
    <xf numFmtId="0" fontId="13"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86" fillId="0" borderId="0" applyFont="0" applyFill="0" applyBorder="0" applyAlignment="0" applyProtection="0"/>
    <xf numFmtId="179" fontId="9" fillId="0" borderId="0" applyFont="0" applyFill="0" applyBorder="0" applyAlignment="0" applyProtection="0"/>
    <xf numFmtId="41" fontId="0" fillId="0" borderId="0" applyFont="0" applyFill="0" applyBorder="0" applyAlignment="0" applyProtection="0"/>
    <xf numFmtId="41" fontId="13"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0" fillId="0" borderId="0" applyNumberFormat="0" applyFill="0" applyBorder="0" applyAlignment="0" applyProtection="0"/>
    <xf numFmtId="0" fontId="91"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3" fillId="0" borderId="1" applyNumberFormat="0" applyFill="0" applyAlignment="0" applyProtection="0"/>
    <xf numFmtId="0" fontId="94" fillId="0" borderId="1" applyNumberFormat="0" applyFill="0" applyAlignment="0" applyProtection="0"/>
    <xf numFmtId="0" fontId="94" fillId="0" borderId="1" applyNumberFormat="0" applyFill="0" applyAlignment="0" applyProtection="0"/>
    <xf numFmtId="0" fontId="94" fillId="0" borderId="1" applyNumberFormat="0" applyFill="0" applyAlignment="0" applyProtection="0"/>
    <xf numFmtId="0" fontId="94" fillId="0" borderId="1" applyNumberFormat="0" applyFill="0" applyAlignment="0" applyProtection="0"/>
    <xf numFmtId="0" fontId="95"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20" fillId="0" borderId="2">
      <alignment/>
      <protection/>
    </xf>
    <xf numFmtId="9" fontId="86" fillId="0" borderId="0" applyFont="0" applyFill="0" applyBorder="0" applyAlignment="0" applyProtection="0"/>
    <xf numFmtId="0" fontId="97" fillId="22" borderId="3" applyNumberFormat="0" applyAlignment="0" applyProtection="0"/>
    <xf numFmtId="0" fontId="98" fillId="22" borderId="3" applyNumberFormat="0" applyAlignment="0" applyProtection="0"/>
    <xf numFmtId="0" fontId="98" fillId="22" borderId="3" applyNumberFormat="0" applyAlignment="0" applyProtection="0"/>
    <xf numFmtId="0" fontId="98" fillId="22" borderId="3" applyNumberFormat="0" applyAlignment="0" applyProtection="0"/>
    <xf numFmtId="0" fontId="98" fillId="22" borderId="3" applyNumberFormat="0" applyAlignment="0" applyProtection="0"/>
    <xf numFmtId="44" fontId="86" fillId="0" borderId="0" applyFont="0" applyFill="0" applyBorder="0" applyAlignment="0" applyProtection="0"/>
    <xf numFmtId="42" fontId="86" fillId="0" borderId="0" applyFont="0" applyFill="0" applyBorder="0" applyAlignment="0" applyProtection="0"/>
    <xf numFmtId="0" fontId="99" fillId="0" borderId="4" applyNumberFormat="0" applyFill="0" applyAlignment="0" applyProtection="0"/>
    <xf numFmtId="0" fontId="100" fillId="0" borderId="4" applyNumberFormat="0" applyFill="0" applyAlignment="0" applyProtection="0"/>
    <xf numFmtId="0" fontId="100" fillId="0" borderId="4" applyNumberFormat="0" applyFill="0" applyAlignment="0" applyProtection="0"/>
    <xf numFmtId="0" fontId="100" fillId="0" borderId="4" applyNumberFormat="0" applyFill="0" applyAlignment="0" applyProtection="0"/>
    <xf numFmtId="0" fontId="100" fillId="0" borderId="4" applyNumberFormat="0" applyFill="0" applyAlignment="0" applyProtection="0"/>
    <xf numFmtId="0" fontId="86" fillId="23" borderId="5" applyNumberFormat="0" applyFont="0" applyAlignment="0" applyProtection="0"/>
    <xf numFmtId="0" fontId="87" fillId="23" borderId="5" applyNumberFormat="0" applyFont="0" applyAlignment="0" applyProtection="0"/>
    <xf numFmtId="0" fontId="87" fillId="23" borderId="5" applyNumberFormat="0" applyFont="0" applyAlignment="0" applyProtection="0"/>
    <xf numFmtId="0" fontId="87" fillId="23" borderId="5" applyNumberFormat="0" applyFont="0" applyAlignment="0" applyProtection="0"/>
    <xf numFmtId="0" fontId="87" fillId="23" borderId="5" applyNumberFormat="0" applyFon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88"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8"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8"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8"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8"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8"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104" fillId="0" borderId="0" applyNumberFormat="0" applyFill="0" applyBorder="0" applyAlignment="0" applyProtection="0"/>
    <xf numFmtId="0" fontId="105"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8" fillId="0" borderId="7" applyNumberFormat="0" applyFill="0" applyAlignment="0" applyProtection="0"/>
    <xf numFmtId="0" fontId="108" fillId="0" borderId="7" applyNumberFormat="0" applyFill="0" applyAlignment="0" applyProtection="0"/>
    <xf numFmtId="0" fontId="108" fillId="0" borderId="7" applyNumberFormat="0" applyFill="0" applyAlignment="0" applyProtection="0"/>
    <xf numFmtId="0" fontId="108" fillId="0" borderId="7" applyNumberFormat="0" applyFill="0" applyAlignment="0" applyProtection="0"/>
    <xf numFmtId="0" fontId="109"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10" fillId="0" borderId="8"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1" fillId="30" borderId="3" applyNumberFormat="0" applyAlignment="0" applyProtection="0"/>
    <xf numFmtId="0" fontId="112" fillId="30" borderId="3" applyNumberFormat="0" applyAlignment="0" applyProtection="0"/>
    <xf numFmtId="0" fontId="112" fillId="30" borderId="3" applyNumberFormat="0" applyAlignment="0" applyProtection="0"/>
    <xf numFmtId="0" fontId="112" fillId="30" borderId="3" applyNumberFormat="0" applyAlignment="0" applyProtection="0"/>
    <xf numFmtId="0" fontId="112" fillId="30" borderId="3" applyNumberFormat="0" applyAlignment="0" applyProtection="0"/>
    <xf numFmtId="0" fontId="113" fillId="22" borderId="9" applyNumberFormat="0" applyAlignment="0" applyProtection="0"/>
    <xf numFmtId="0" fontId="114" fillId="22" borderId="9" applyNumberFormat="0" applyAlignment="0" applyProtection="0"/>
    <xf numFmtId="0" fontId="114" fillId="22" borderId="9" applyNumberFormat="0" applyAlignment="0" applyProtection="0"/>
    <xf numFmtId="0" fontId="114" fillId="22" borderId="9" applyNumberFormat="0" applyAlignment="0" applyProtection="0"/>
    <xf numFmtId="0" fontId="114" fillId="22" borderId="9" applyNumberFormat="0" applyAlignment="0" applyProtection="0"/>
    <xf numFmtId="0" fontId="115" fillId="31" borderId="10" applyNumberFormat="0" applyAlignment="0" applyProtection="0"/>
    <xf numFmtId="0" fontId="116" fillId="31" borderId="10" applyNumberFormat="0" applyAlignment="0" applyProtection="0"/>
    <xf numFmtId="0" fontId="116" fillId="31" borderId="10" applyNumberFormat="0" applyAlignment="0" applyProtection="0"/>
    <xf numFmtId="0" fontId="116" fillId="31" borderId="10" applyNumberFormat="0" applyAlignment="0" applyProtection="0"/>
    <xf numFmtId="0" fontId="116" fillId="31" borderId="10" applyNumberFormat="0" applyAlignment="0" applyProtection="0"/>
    <xf numFmtId="0" fontId="117" fillId="32" borderId="0" applyNumberFormat="0" applyBorder="0" applyAlignment="0" applyProtection="0"/>
    <xf numFmtId="0" fontId="118" fillId="32" borderId="0" applyNumberFormat="0" applyBorder="0" applyAlignment="0" applyProtection="0"/>
    <xf numFmtId="0" fontId="118" fillId="32" borderId="0" applyNumberFormat="0" applyBorder="0" applyAlignment="0" applyProtection="0"/>
    <xf numFmtId="0" fontId="118" fillId="32" borderId="0" applyNumberFormat="0" applyBorder="0" applyAlignment="0" applyProtection="0"/>
    <xf numFmtId="0" fontId="118" fillId="32" borderId="0" applyNumberFormat="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cellStyleXfs>
  <cellXfs count="1010">
    <xf numFmtId="0" fontId="0" fillId="0" borderId="0" xfId="0" applyAlignment="1">
      <alignment vertical="center"/>
    </xf>
    <xf numFmtId="0" fontId="21" fillId="0" borderId="0" xfId="132" applyFont="1" applyAlignment="1">
      <alignment horizontal="left" vertical="center"/>
      <protection/>
    </xf>
    <xf numFmtId="0" fontId="21" fillId="0" borderId="0" xfId="0" applyFont="1" applyAlignment="1">
      <alignment vertical="center"/>
    </xf>
    <xf numFmtId="0" fontId="21" fillId="0" borderId="0" xfId="0" applyFont="1" applyAlignment="1">
      <alignment horizontal="right" vertical="center"/>
    </xf>
    <xf numFmtId="3" fontId="21" fillId="0" borderId="0" xfId="132" applyNumberFormat="1" applyFont="1" applyBorder="1" applyAlignment="1">
      <alignment horizontal="right" vertical="center"/>
      <protection/>
    </xf>
    <xf numFmtId="3" fontId="21" fillId="0" borderId="0" xfId="132" applyNumberFormat="1" applyFont="1" applyBorder="1" applyAlignment="1">
      <alignment vertical="center"/>
      <protection/>
    </xf>
    <xf numFmtId="3" fontId="21" fillId="0" borderId="0" xfId="0" applyNumberFormat="1" applyFont="1" applyAlignment="1">
      <alignment vertical="center"/>
    </xf>
    <xf numFmtId="3" fontId="21" fillId="0" borderId="0" xfId="0" applyNumberFormat="1" applyFont="1" applyBorder="1" applyAlignment="1">
      <alignment vertical="center"/>
    </xf>
    <xf numFmtId="3" fontId="21" fillId="0" borderId="11" xfId="132" applyNumberFormat="1" applyFont="1" applyBorder="1" applyAlignment="1">
      <alignment vertical="center"/>
      <protection/>
    </xf>
    <xf numFmtId="3" fontId="21" fillId="0" borderId="11" xfId="132" applyNumberFormat="1" applyFont="1" applyBorder="1" applyAlignment="1">
      <alignment horizontal="right" vertical="center"/>
      <protection/>
    </xf>
    <xf numFmtId="3" fontId="21" fillId="0" borderId="11" xfId="0" applyNumberFormat="1" applyFont="1" applyBorder="1" applyAlignment="1">
      <alignment vertical="center"/>
    </xf>
    <xf numFmtId="0" fontId="21" fillId="0" borderId="0" xfId="129" applyFont="1" applyAlignment="1">
      <alignment horizontal="center" vertical="center"/>
      <protection/>
    </xf>
    <xf numFmtId="0" fontId="21" fillId="0" borderId="0" xfId="129" applyFont="1" applyAlignment="1">
      <alignment horizontal="right" vertical="center"/>
      <protection/>
    </xf>
    <xf numFmtId="0" fontId="21" fillId="0" borderId="0" xfId="129" applyFont="1" applyBorder="1" applyAlignment="1">
      <alignment horizontal="center" vertical="center" wrapText="1"/>
      <protection/>
    </xf>
    <xf numFmtId="0" fontId="21" fillId="0" borderId="0" xfId="129" applyFont="1" applyBorder="1" applyAlignment="1">
      <alignment horizontal="center" vertical="center"/>
      <protection/>
    </xf>
    <xf numFmtId="0" fontId="21" fillId="0" borderId="12" xfId="129" applyFont="1" applyBorder="1" applyAlignment="1">
      <alignment horizontal="center" vertical="center" wrapText="1"/>
      <protection/>
    </xf>
    <xf numFmtId="0" fontId="21" fillId="0" borderId="13" xfId="129" applyFont="1" applyBorder="1" applyAlignment="1">
      <alignment horizontal="center" vertical="center" wrapText="1"/>
      <protection/>
    </xf>
    <xf numFmtId="0" fontId="21" fillId="0" borderId="14" xfId="129" applyFont="1" applyBorder="1" applyAlignment="1">
      <alignment horizontal="center" vertical="center" wrapText="1"/>
      <protection/>
    </xf>
    <xf numFmtId="0" fontId="21" fillId="0" borderId="15" xfId="129" applyFont="1" applyBorder="1" applyAlignment="1">
      <alignment horizontal="center" vertical="center" wrapText="1"/>
      <protection/>
    </xf>
    <xf numFmtId="0" fontId="21" fillId="0" borderId="0" xfId="129" applyFont="1" applyAlignment="1">
      <alignment horizontal="center" vertical="center" wrapText="1"/>
      <protection/>
    </xf>
    <xf numFmtId="0" fontId="21" fillId="0" borderId="16" xfId="0" applyFont="1" applyBorder="1" applyAlignment="1">
      <alignment horizontal="center" vertical="center" wrapText="1"/>
    </xf>
    <xf numFmtId="3" fontId="21" fillId="0" borderId="17" xfId="129" applyNumberFormat="1" applyFont="1" applyFill="1" applyBorder="1" applyAlignment="1">
      <alignment horizontal="right" vertical="center"/>
      <protection/>
    </xf>
    <xf numFmtId="3" fontId="21" fillId="0" borderId="0" xfId="129" applyNumberFormat="1" applyFont="1" applyAlignment="1">
      <alignment horizontal="right" vertical="center"/>
      <protection/>
    </xf>
    <xf numFmtId="3" fontId="21" fillId="0" borderId="0" xfId="129" applyNumberFormat="1" applyFont="1" applyFill="1" applyBorder="1" applyAlignment="1">
      <alignment horizontal="right" vertical="center"/>
      <protection/>
    </xf>
    <xf numFmtId="0" fontId="23" fillId="0" borderId="0" xfId="129" applyFont="1" applyAlignment="1">
      <alignment horizontal="center" vertical="center"/>
      <protection/>
    </xf>
    <xf numFmtId="3" fontId="21" fillId="0" borderId="0" xfId="129" applyNumberFormat="1" applyFont="1" applyBorder="1" applyAlignment="1">
      <alignment horizontal="right" vertical="center"/>
      <protection/>
    </xf>
    <xf numFmtId="0" fontId="23" fillId="0" borderId="0" xfId="129" applyFont="1" applyBorder="1" applyAlignment="1">
      <alignment horizontal="center" vertical="center"/>
      <protection/>
    </xf>
    <xf numFmtId="3" fontId="21" fillId="0" borderId="18" xfId="129" applyNumberFormat="1" applyFont="1" applyFill="1" applyBorder="1" applyAlignment="1">
      <alignment horizontal="right" vertical="center"/>
      <protection/>
    </xf>
    <xf numFmtId="3" fontId="21" fillId="0" borderId="11" xfId="129" applyNumberFormat="1" applyFont="1" applyBorder="1" applyAlignment="1">
      <alignment horizontal="right" vertical="center"/>
      <protection/>
    </xf>
    <xf numFmtId="3" fontId="21" fillId="0" borderId="11" xfId="129" applyNumberFormat="1" applyFont="1" applyFill="1" applyBorder="1" applyAlignment="1">
      <alignment horizontal="right" vertical="center"/>
      <protection/>
    </xf>
    <xf numFmtId="0" fontId="21" fillId="0" borderId="0" xfId="129" applyFont="1" applyFill="1" applyAlignment="1">
      <alignment vertical="center"/>
      <protection/>
    </xf>
    <xf numFmtId="0" fontId="21" fillId="0" borderId="11" xfId="129" applyFont="1" applyBorder="1" applyAlignment="1">
      <alignment horizontal="right" vertical="center"/>
      <protection/>
    </xf>
    <xf numFmtId="0" fontId="21" fillId="0" borderId="19" xfId="0" applyFont="1" applyBorder="1" applyAlignment="1">
      <alignment horizontal="center" vertical="center" wrapText="1"/>
    </xf>
    <xf numFmtId="0" fontId="21" fillId="0" borderId="0" xfId="129" applyFont="1" applyAlignment="1">
      <alignment vertical="center"/>
      <protection/>
    </xf>
    <xf numFmtId="176" fontId="21" fillId="0" borderId="0" xfId="129" applyNumberFormat="1" applyFont="1" applyBorder="1" applyAlignment="1">
      <alignment horizontal="right" vertical="center"/>
      <protection/>
    </xf>
    <xf numFmtId="0" fontId="21" fillId="0" borderId="0" xfId="0" applyFont="1" applyAlignment="1">
      <alignment vertical="center"/>
    </xf>
    <xf numFmtId="0" fontId="21" fillId="0" borderId="20" xfId="0" applyFont="1" applyBorder="1" applyAlignment="1">
      <alignment horizontal="center" vertical="center" wrapText="1"/>
    </xf>
    <xf numFmtId="176" fontId="21" fillId="0" borderId="12" xfId="129" applyNumberFormat="1" applyFont="1" applyBorder="1" applyAlignment="1">
      <alignment horizontal="center" vertical="center" wrapText="1"/>
      <protection/>
    </xf>
    <xf numFmtId="176" fontId="24" fillId="0" borderId="12" xfId="129" applyNumberFormat="1" applyFont="1" applyBorder="1" applyAlignment="1">
      <alignment horizontal="center" vertical="center" wrapText="1"/>
      <protection/>
    </xf>
    <xf numFmtId="176" fontId="24" fillId="0" borderId="0" xfId="129" applyNumberFormat="1" applyFont="1" applyBorder="1" applyAlignment="1">
      <alignment horizontal="right" vertical="center"/>
      <protection/>
    </xf>
    <xf numFmtId="176" fontId="21" fillId="0" borderId="17" xfId="129" applyNumberFormat="1" applyFont="1" applyBorder="1" applyAlignment="1">
      <alignment horizontal="right" vertical="center"/>
      <protection/>
    </xf>
    <xf numFmtId="176" fontId="24" fillId="0" borderId="0" xfId="129" applyNumberFormat="1" applyFont="1" applyFill="1" applyBorder="1" applyAlignment="1">
      <alignment horizontal="right" vertical="center"/>
      <protection/>
    </xf>
    <xf numFmtId="176" fontId="21" fillId="0" borderId="21" xfId="129" applyNumberFormat="1" applyFont="1" applyBorder="1" applyAlignment="1">
      <alignment horizontal="center" vertical="center" wrapText="1"/>
      <protection/>
    </xf>
    <xf numFmtId="176" fontId="21" fillId="0" borderId="11" xfId="129" applyNumberFormat="1" applyFont="1" applyBorder="1" applyAlignment="1">
      <alignment horizontal="right" vertical="center"/>
      <protection/>
    </xf>
    <xf numFmtId="0" fontId="21" fillId="0" borderId="0" xfId="129" applyFont="1" applyFill="1" applyAlignment="1">
      <alignment horizontal="center" vertical="center"/>
      <protection/>
    </xf>
    <xf numFmtId="0" fontId="21" fillId="0" borderId="0" xfId="129" applyFont="1" applyBorder="1" applyAlignment="1">
      <alignment horizontal="right" vertical="center"/>
      <protection/>
    </xf>
    <xf numFmtId="0" fontId="21" fillId="0" borderId="0" xfId="0" applyFont="1" applyBorder="1" applyAlignment="1">
      <alignment horizontal="center" vertical="center"/>
    </xf>
    <xf numFmtId="177" fontId="21" fillId="0" borderId="0" xfId="129" applyNumberFormat="1" applyFont="1" applyBorder="1" applyAlignment="1">
      <alignment horizontal="right" vertical="center"/>
      <protection/>
    </xf>
    <xf numFmtId="177" fontId="21" fillId="0" borderId="0" xfId="129" applyNumberFormat="1" applyFont="1" applyFill="1" applyBorder="1" applyAlignment="1">
      <alignment horizontal="right" vertical="center"/>
      <protection/>
    </xf>
    <xf numFmtId="0" fontId="21" fillId="0" borderId="11" xfId="129" applyFont="1" applyBorder="1" applyAlignment="1">
      <alignment horizontal="center" vertical="center"/>
      <protection/>
    </xf>
    <xf numFmtId="0" fontId="21" fillId="0" borderId="0" xfId="129" applyFont="1" applyAlignment="1">
      <alignment horizontal="left" vertical="center"/>
      <protection/>
    </xf>
    <xf numFmtId="0" fontId="21" fillId="0" borderId="0" xfId="129" applyFont="1" applyBorder="1" applyAlignment="1">
      <alignment vertical="center"/>
      <protection/>
    </xf>
    <xf numFmtId="0" fontId="21" fillId="0" borderId="0" xfId="0" applyFont="1" applyAlignment="1">
      <alignment horizontal="center" vertical="center"/>
    </xf>
    <xf numFmtId="0" fontId="21" fillId="0" borderId="0" xfId="0" applyFont="1" applyBorder="1" applyAlignment="1">
      <alignment horizontal="right" vertical="center"/>
    </xf>
    <xf numFmtId="176" fontId="21" fillId="0" borderId="0" xfId="0" applyNumberFormat="1" applyFont="1" applyBorder="1" applyAlignment="1">
      <alignment horizontal="right" vertical="center"/>
    </xf>
    <xf numFmtId="3" fontId="21" fillId="0" borderId="0" xfId="0" applyNumberFormat="1" applyFont="1" applyAlignment="1">
      <alignment horizontal="right" vertical="center"/>
    </xf>
    <xf numFmtId="3" fontId="21" fillId="0" borderId="0" xfId="0" applyNumberFormat="1" applyFont="1" applyBorder="1" applyAlignment="1">
      <alignment horizontal="right" vertical="center"/>
    </xf>
    <xf numFmtId="0" fontId="21" fillId="0" borderId="0" xfId="127" applyFont="1" applyAlignment="1">
      <alignment vertical="center"/>
      <protection/>
    </xf>
    <xf numFmtId="3" fontId="21" fillId="0" borderId="0" xfId="127" applyNumberFormat="1" applyFont="1" applyAlignment="1">
      <alignment vertical="center"/>
      <protection/>
    </xf>
    <xf numFmtId="3" fontId="21" fillId="0" borderId="0" xfId="145" applyNumberFormat="1" applyFont="1" applyFill="1" applyBorder="1" applyAlignment="1" applyProtection="1">
      <alignment horizontal="right" vertical="center"/>
      <protection/>
    </xf>
    <xf numFmtId="0" fontId="21" fillId="0" borderId="0" xfId="127" applyFont="1" applyBorder="1" applyAlignment="1">
      <alignment vertical="center"/>
      <protection/>
    </xf>
    <xf numFmtId="3" fontId="21" fillId="0" borderId="0" xfId="127" applyNumberFormat="1" applyFont="1" applyBorder="1" applyAlignment="1">
      <alignment vertical="center"/>
      <protection/>
    </xf>
    <xf numFmtId="176" fontId="21" fillId="0" borderId="18" xfId="0" applyNumberFormat="1" applyFont="1" applyBorder="1" applyAlignment="1">
      <alignment horizontal="right" vertical="center"/>
    </xf>
    <xf numFmtId="176" fontId="21" fillId="0" borderId="11" xfId="0" applyNumberFormat="1" applyFont="1" applyBorder="1" applyAlignment="1">
      <alignment horizontal="right" vertical="center"/>
    </xf>
    <xf numFmtId="0" fontId="21" fillId="0" borderId="0" xfId="127" applyFont="1">
      <alignment/>
      <protection/>
    </xf>
    <xf numFmtId="3" fontId="21" fillId="0" borderId="0" xfId="0" applyNumberFormat="1" applyFont="1" applyFill="1" applyBorder="1" applyAlignment="1">
      <alignment horizontal="right" vertical="center"/>
    </xf>
    <xf numFmtId="3" fontId="21" fillId="0" borderId="22" xfId="0" applyNumberFormat="1" applyFont="1" applyFill="1" applyBorder="1" applyAlignment="1">
      <alignment horizontal="right" vertical="center"/>
    </xf>
    <xf numFmtId="3" fontId="21" fillId="0" borderId="11" xfId="0" applyNumberFormat="1" applyFont="1" applyFill="1" applyBorder="1" applyAlignment="1">
      <alignment horizontal="right" vertical="center"/>
    </xf>
    <xf numFmtId="3" fontId="21" fillId="0" borderId="0" xfId="0" applyNumberFormat="1" applyFont="1" applyFill="1" applyAlignment="1">
      <alignment horizontal="right" vertical="center"/>
    </xf>
    <xf numFmtId="3" fontId="21" fillId="0" borderId="0" xfId="129" applyNumberFormat="1" applyFont="1" applyFill="1" applyAlignment="1">
      <alignment horizontal="right" vertical="center"/>
      <protection/>
    </xf>
    <xf numFmtId="176" fontId="21" fillId="0" borderId="0" xfId="0" applyNumberFormat="1" applyFont="1" applyFill="1" applyBorder="1" applyAlignment="1">
      <alignment horizontal="right" vertical="center"/>
    </xf>
    <xf numFmtId="3" fontId="21" fillId="0" borderId="0" xfId="127" applyNumberFormat="1" applyFont="1" applyFill="1" applyAlignment="1">
      <alignment vertical="center"/>
      <protection/>
    </xf>
    <xf numFmtId="0" fontId="21" fillId="0" borderId="0" xfId="127" applyFont="1" applyFill="1" applyAlignment="1">
      <alignment vertical="center"/>
      <protection/>
    </xf>
    <xf numFmtId="3" fontId="21" fillId="0" borderId="0" xfId="127" applyNumberFormat="1" applyFont="1" applyFill="1" applyBorder="1" applyAlignment="1">
      <alignment vertical="center"/>
      <protection/>
    </xf>
    <xf numFmtId="0" fontId="21" fillId="0" borderId="0" xfId="127" applyFont="1" applyFill="1" applyBorder="1" applyAlignment="1">
      <alignment vertical="center"/>
      <protection/>
    </xf>
    <xf numFmtId="176" fontId="21" fillId="0" borderId="11" xfId="0" applyNumberFormat="1" applyFont="1" applyFill="1" applyBorder="1" applyAlignment="1">
      <alignment horizontal="right" vertical="center"/>
    </xf>
    <xf numFmtId="3" fontId="21" fillId="0" borderId="17" xfId="0" applyNumberFormat="1" applyFont="1" applyFill="1" applyBorder="1" applyAlignment="1">
      <alignment horizontal="right" vertical="center"/>
    </xf>
    <xf numFmtId="3" fontId="21" fillId="0" borderId="17" xfId="129" applyNumberFormat="1" applyFont="1" applyBorder="1" applyAlignment="1">
      <alignment horizontal="right" vertical="center"/>
      <protection/>
    </xf>
    <xf numFmtId="3" fontId="21" fillId="0" borderId="18" xfId="129" applyNumberFormat="1" applyFont="1" applyBorder="1" applyAlignment="1">
      <alignment horizontal="right" vertical="center"/>
      <protection/>
    </xf>
    <xf numFmtId="0" fontId="21" fillId="0" borderId="0" xfId="129" applyFont="1" applyFill="1" applyBorder="1" applyAlignment="1">
      <alignment horizontal="center" vertical="center"/>
      <protection/>
    </xf>
    <xf numFmtId="176" fontId="21" fillId="0" borderId="17" xfId="129" applyNumberFormat="1" applyFont="1" applyFill="1" applyBorder="1" applyAlignment="1">
      <alignment horizontal="right" vertical="center"/>
      <protection/>
    </xf>
    <xf numFmtId="176" fontId="21" fillId="0" borderId="0" xfId="129" applyNumberFormat="1" applyFont="1" applyFill="1" applyBorder="1" applyAlignment="1">
      <alignment horizontal="right" vertical="center"/>
      <protection/>
    </xf>
    <xf numFmtId="176" fontId="21" fillId="0" borderId="11" xfId="129" applyNumberFormat="1" applyFont="1" applyFill="1" applyBorder="1" applyAlignment="1">
      <alignment horizontal="right" vertical="center"/>
      <protection/>
    </xf>
    <xf numFmtId="176" fontId="24" fillId="0" borderId="0" xfId="129" applyNumberFormat="1" applyFont="1" applyBorder="1" applyAlignment="1">
      <alignment vertical="center"/>
      <protection/>
    </xf>
    <xf numFmtId="176" fontId="21" fillId="0" borderId="0" xfId="129" applyNumberFormat="1" applyFont="1" applyBorder="1" applyAlignment="1">
      <alignment vertical="center"/>
      <protection/>
    </xf>
    <xf numFmtId="176" fontId="24" fillId="0" borderId="11" xfId="129" applyNumberFormat="1" applyFont="1" applyBorder="1" applyAlignment="1">
      <alignment vertical="center"/>
      <protection/>
    </xf>
    <xf numFmtId="181" fontId="21" fillId="0" borderId="11" xfId="129" applyNumberFormat="1" applyFont="1" applyBorder="1" applyAlignment="1">
      <alignment horizontal="right" vertical="center"/>
      <protection/>
    </xf>
    <xf numFmtId="176" fontId="24" fillId="0" borderId="11" xfId="129" applyNumberFormat="1" applyFont="1" applyBorder="1" applyAlignment="1">
      <alignment horizontal="right" vertical="center"/>
      <protection/>
    </xf>
    <xf numFmtId="176" fontId="24" fillId="0" borderId="22" xfId="129" applyNumberFormat="1" applyFont="1" applyBorder="1" applyAlignment="1">
      <alignment vertical="center"/>
      <protection/>
    </xf>
    <xf numFmtId="176" fontId="24" fillId="0" borderId="22" xfId="129" applyNumberFormat="1" applyFont="1" applyBorder="1" applyAlignment="1">
      <alignment horizontal="right" vertical="center"/>
      <protection/>
    </xf>
    <xf numFmtId="0" fontId="24" fillId="0" borderId="0" xfId="129" applyFont="1" applyAlignment="1">
      <alignment horizontal="center" vertical="center"/>
      <protection/>
    </xf>
    <xf numFmtId="176" fontId="21" fillId="0" borderId="0" xfId="129" applyNumberFormat="1" applyFont="1" applyFill="1" applyBorder="1" applyAlignment="1">
      <alignment vertical="center"/>
      <protection/>
    </xf>
    <xf numFmtId="176" fontId="24" fillId="0" borderId="0" xfId="129" applyNumberFormat="1" applyFont="1" applyFill="1" applyBorder="1" applyAlignment="1">
      <alignment vertical="center"/>
      <protection/>
    </xf>
    <xf numFmtId="0" fontId="24" fillId="0" borderId="0" xfId="129" applyFont="1" applyBorder="1" applyAlignment="1">
      <alignment horizontal="center" vertical="center"/>
      <protection/>
    </xf>
    <xf numFmtId="176" fontId="21" fillId="0" borderId="11" xfId="129" applyNumberFormat="1" applyFont="1" applyFill="1" applyBorder="1" applyAlignment="1">
      <alignment vertical="center"/>
      <protection/>
    </xf>
    <xf numFmtId="176" fontId="24" fillId="0" borderId="11" xfId="129" applyNumberFormat="1" applyFont="1" applyFill="1" applyBorder="1" applyAlignment="1">
      <alignment horizontal="right" vertical="center"/>
      <protection/>
    </xf>
    <xf numFmtId="176" fontId="21" fillId="0" borderId="11" xfId="129" applyNumberFormat="1" applyFont="1" applyBorder="1" applyAlignment="1">
      <alignment vertical="center"/>
      <protection/>
    </xf>
    <xf numFmtId="176" fontId="21" fillId="0" borderId="17" xfId="129" applyNumberFormat="1" applyFont="1" applyBorder="1" applyAlignment="1">
      <alignment vertical="center"/>
      <protection/>
    </xf>
    <xf numFmtId="176" fontId="21" fillId="0" borderId="17" xfId="129" applyNumberFormat="1" applyFont="1" applyFill="1" applyBorder="1" applyAlignment="1">
      <alignment vertical="center"/>
      <protection/>
    </xf>
    <xf numFmtId="176" fontId="21" fillId="0" borderId="18" xfId="129" applyNumberFormat="1" applyFont="1" applyFill="1" applyBorder="1" applyAlignment="1">
      <alignment horizontal="right" vertical="center"/>
      <protection/>
    </xf>
    <xf numFmtId="3" fontId="21" fillId="0" borderId="0" xfId="129" applyNumberFormat="1" applyFont="1" applyBorder="1" applyAlignment="1">
      <alignment horizontal="center" vertical="center"/>
      <protection/>
    </xf>
    <xf numFmtId="49" fontId="21" fillId="0" borderId="0" xfId="137" applyNumberFormat="1" applyFont="1" applyAlignment="1">
      <alignment vertical="center"/>
    </xf>
    <xf numFmtId="49" fontId="21" fillId="0" borderId="0" xfId="129" applyNumberFormat="1" applyFont="1" applyAlignment="1">
      <alignment horizontal="center" vertical="center"/>
      <protection/>
    </xf>
    <xf numFmtId="180" fontId="21" fillId="0" borderId="0" xfId="137" applyNumberFormat="1" applyFont="1" applyAlignment="1">
      <alignment horizontal="center" vertical="center"/>
    </xf>
    <xf numFmtId="176" fontId="21" fillId="0" borderId="0" xfId="109" applyNumberFormat="1" applyFont="1" applyFill="1" applyBorder="1" applyAlignment="1">
      <alignment horizontal="right" vertical="center"/>
      <protection/>
    </xf>
    <xf numFmtId="177" fontId="21" fillId="0" borderId="0" xfId="129" applyNumberFormat="1" applyFont="1" applyBorder="1" applyAlignment="1">
      <alignment vertical="center"/>
      <protection/>
    </xf>
    <xf numFmtId="41" fontId="21" fillId="0" borderId="0" xfId="134" applyNumberFormat="1" applyFont="1" applyBorder="1" applyAlignment="1">
      <alignment horizontal="right" vertical="center"/>
      <protection/>
    </xf>
    <xf numFmtId="177" fontId="21" fillId="0" borderId="0" xfId="129" applyNumberFormat="1" applyFont="1" applyFill="1" applyBorder="1" applyAlignment="1">
      <alignment vertical="center"/>
      <protection/>
    </xf>
    <xf numFmtId="41" fontId="21" fillId="0" borderId="0" xfId="134" applyNumberFormat="1" applyFont="1" applyFill="1" applyBorder="1" applyAlignment="1">
      <alignment horizontal="right" vertical="center"/>
      <protection/>
    </xf>
    <xf numFmtId="177" fontId="21" fillId="0" borderId="11" xfId="129" applyNumberFormat="1" applyFont="1" applyFill="1" applyBorder="1" applyAlignment="1">
      <alignment vertical="center"/>
      <protection/>
    </xf>
    <xf numFmtId="41" fontId="21" fillId="0" borderId="11" xfId="134" applyNumberFormat="1" applyFont="1" applyFill="1" applyBorder="1" applyAlignment="1">
      <alignment horizontal="right" vertical="center"/>
      <protection/>
    </xf>
    <xf numFmtId="176" fontId="21" fillId="0" borderId="0" xfId="0" applyNumberFormat="1" applyFont="1" applyAlignment="1">
      <alignment horizontal="right" vertical="center"/>
    </xf>
    <xf numFmtId="178" fontId="21" fillId="0" borderId="0" xfId="129" applyNumberFormat="1" applyFont="1" applyFill="1" applyBorder="1" applyAlignment="1">
      <alignment vertical="center"/>
      <protection/>
    </xf>
    <xf numFmtId="3" fontId="21" fillId="0" borderId="0" xfId="129" applyNumberFormat="1" applyFont="1" applyFill="1" applyBorder="1" applyAlignment="1">
      <alignment horizontal="right" vertical="center" wrapText="1"/>
      <protection/>
    </xf>
    <xf numFmtId="3" fontId="21" fillId="0" borderId="0" xfId="129" applyNumberFormat="1" applyFont="1" applyAlignment="1">
      <alignment horizontal="center" vertical="center"/>
      <protection/>
    </xf>
    <xf numFmtId="0" fontId="21" fillId="0" borderId="0" xfId="128" applyFont="1" applyFill="1">
      <alignment vertical="center"/>
      <protection/>
    </xf>
    <xf numFmtId="0" fontId="24" fillId="0" borderId="0" xfId="136" applyFont="1" applyFill="1" applyAlignment="1">
      <alignment vertical="center"/>
      <protection/>
    </xf>
    <xf numFmtId="0" fontId="24" fillId="0" borderId="0" xfId="0" applyFont="1" applyFill="1" applyBorder="1" applyAlignment="1">
      <alignment vertical="center"/>
    </xf>
    <xf numFmtId="41" fontId="21" fillId="0" borderId="23" xfId="134" applyNumberFormat="1" applyFont="1" applyFill="1" applyBorder="1" applyAlignment="1">
      <alignment horizontal="right" vertical="center"/>
      <protection/>
    </xf>
    <xf numFmtId="0" fontId="21" fillId="0" borderId="0" xfId="131" applyFont="1" applyAlignment="1">
      <alignment vertical="center"/>
      <protection/>
    </xf>
    <xf numFmtId="41" fontId="21" fillId="0" borderId="0" xfId="137" applyNumberFormat="1" applyFont="1" applyBorder="1" applyAlignment="1">
      <alignment horizontal="right" vertical="center"/>
    </xf>
    <xf numFmtId="41" fontId="21" fillId="0" borderId="0" xfId="137" applyNumberFormat="1" applyFont="1" applyFill="1" applyBorder="1" applyAlignment="1">
      <alignment horizontal="right" vertical="center"/>
    </xf>
    <xf numFmtId="41" fontId="21" fillId="0" borderId="11" xfId="137" applyNumberFormat="1" applyFont="1" applyFill="1" applyBorder="1" applyAlignment="1">
      <alignment horizontal="right" vertical="center"/>
    </xf>
    <xf numFmtId="0" fontId="21" fillId="0" borderId="0" xfId="0" applyFont="1" applyBorder="1" applyAlignment="1">
      <alignment vertical="center"/>
    </xf>
    <xf numFmtId="3" fontId="21" fillId="0" borderId="17" xfId="132" applyNumberFormat="1" applyFont="1" applyBorder="1" applyAlignment="1">
      <alignment horizontal="right" vertical="center"/>
      <protection/>
    </xf>
    <xf numFmtId="41" fontId="21" fillId="0" borderId="17" xfId="134" applyNumberFormat="1" applyFont="1" applyFill="1" applyBorder="1" applyAlignment="1">
      <alignment horizontal="right" vertical="center"/>
      <protection/>
    </xf>
    <xf numFmtId="41" fontId="21" fillId="0" borderId="0" xfId="129" applyNumberFormat="1" applyFont="1" applyFill="1" applyBorder="1" applyAlignment="1">
      <alignment horizontal="right" vertical="center"/>
      <protection/>
    </xf>
    <xf numFmtId="41" fontId="21" fillId="0" borderId="11" xfId="129" applyNumberFormat="1" applyFont="1" applyFill="1" applyBorder="1" applyAlignment="1">
      <alignment horizontal="right" vertical="center"/>
      <protection/>
    </xf>
    <xf numFmtId="176" fontId="21" fillId="0" borderId="17" xfId="0" applyNumberFormat="1" applyFont="1" applyBorder="1" applyAlignment="1">
      <alignment horizontal="right" vertical="center"/>
    </xf>
    <xf numFmtId="0" fontId="21" fillId="0" borderId="0" xfId="129" applyFont="1" applyBorder="1" applyAlignment="1">
      <alignment horizontal="left" vertical="center"/>
      <protection/>
    </xf>
    <xf numFmtId="41" fontId="21" fillId="0" borderId="0" xfId="0" applyNumberFormat="1" applyFont="1" applyFill="1" applyBorder="1" applyAlignment="1">
      <alignment horizontal="right" vertical="center"/>
    </xf>
    <xf numFmtId="41" fontId="21" fillId="0" borderId="11" xfId="137" applyNumberFormat="1" applyFont="1" applyBorder="1" applyAlignment="1">
      <alignment horizontal="right" vertical="center"/>
    </xf>
    <xf numFmtId="176" fontId="21" fillId="0" borderId="0" xfId="129" applyNumberFormat="1" applyFont="1" applyFill="1" applyBorder="1" applyAlignment="1">
      <alignment horizontal="right" vertical="center" wrapText="1"/>
      <protection/>
    </xf>
    <xf numFmtId="176" fontId="21" fillId="0" borderId="18" xfId="129" applyNumberFormat="1" applyFont="1" applyBorder="1" applyAlignment="1">
      <alignment horizontal="right" vertical="center"/>
      <protection/>
    </xf>
    <xf numFmtId="176" fontId="21" fillId="0" borderId="0" xfId="129" applyNumberFormat="1" applyFont="1" applyBorder="1" applyAlignment="1">
      <alignment horizontal="center" vertical="center"/>
      <protection/>
    </xf>
    <xf numFmtId="0" fontId="21" fillId="33" borderId="0" xfId="129" applyFont="1" applyFill="1" applyAlignment="1">
      <alignment horizontal="center" vertical="center"/>
      <protection/>
    </xf>
    <xf numFmtId="176" fontId="21" fillId="0" borderId="24" xfId="129" applyNumberFormat="1" applyFont="1" applyBorder="1" applyAlignment="1">
      <alignment vertical="center"/>
      <protection/>
    </xf>
    <xf numFmtId="176" fontId="21" fillId="0" borderId="0" xfId="0" applyNumberFormat="1" applyFont="1" applyBorder="1" applyAlignment="1">
      <alignment vertical="center"/>
    </xf>
    <xf numFmtId="181" fontId="21" fillId="0" borderId="0" xfId="129" applyNumberFormat="1" applyFont="1" applyAlignment="1">
      <alignment horizontal="center" vertical="center"/>
      <protection/>
    </xf>
    <xf numFmtId="3" fontId="21" fillId="0" borderId="0" xfId="129" applyNumberFormat="1" applyFont="1" applyBorder="1" applyAlignment="1">
      <alignment vertical="center"/>
      <protection/>
    </xf>
    <xf numFmtId="181" fontId="21" fillId="0" borderId="0" xfId="129" applyNumberFormat="1" applyFont="1" applyBorder="1" applyAlignment="1">
      <alignment vertical="center"/>
      <protection/>
    </xf>
    <xf numFmtId="41" fontId="21" fillId="0" borderId="0" xfId="129" applyNumberFormat="1" applyFont="1" applyAlignment="1">
      <alignment horizontal="center" vertical="center"/>
      <protection/>
    </xf>
    <xf numFmtId="43" fontId="21" fillId="0" borderId="0" xfId="129" applyNumberFormat="1" applyFont="1" applyFill="1" applyBorder="1" applyAlignment="1">
      <alignment horizontal="right" vertical="center"/>
      <protection/>
    </xf>
    <xf numFmtId="41" fontId="21" fillId="0" borderId="0" xfId="129" applyNumberFormat="1" applyFont="1" applyBorder="1" applyAlignment="1">
      <alignment horizontal="right" vertical="center"/>
      <protection/>
    </xf>
    <xf numFmtId="41" fontId="21" fillId="0" borderId="0" xfId="129" applyNumberFormat="1" applyFont="1" applyFill="1" applyBorder="1" applyAlignment="1">
      <alignment horizontal="right"/>
      <protection/>
    </xf>
    <xf numFmtId="43" fontId="21" fillId="0" borderId="0" xfId="129" applyNumberFormat="1" applyFont="1" applyFill="1" applyBorder="1" applyAlignment="1">
      <alignment horizontal="right"/>
      <protection/>
    </xf>
    <xf numFmtId="41" fontId="21" fillId="0" borderId="11" xfId="129" applyNumberFormat="1" applyFont="1" applyFill="1" applyBorder="1" applyAlignment="1">
      <alignment horizontal="left" vertical="center" indent="1"/>
      <protection/>
    </xf>
    <xf numFmtId="41" fontId="21" fillId="0" borderId="11" xfId="129" applyNumberFormat="1" applyFont="1" applyFill="1" applyBorder="1" applyAlignment="1">
      <alignment horizontal="center" vertical="center"/>
      <protection/>
    </xf>
    <xf numFmtId="177" fontId="21" fillId="0" borderId="11" xfId="129" applyNumberFormat="1" applyFont="1" applyBorder="1" applyAlignment="1">
      <alignment horizontal="right" vertical="center"/>
      <protection/>
    </xf>
    <xf numFmtId="200" fontId="21" fillId="0" borderId="17" xfId="129" applyNumberFormat="1" applyFont="1" applyFill="1" applyBorder="1" applyAlignment="1">
      <alignment horizontal="right" vertical="center"/>
      <protection/>
    </xf>
    <xf numFmtId="200" fontId="21" fillId="0" borderId="0" xfId="129" applyNumberFormat="1" applyFont="1" applyFill="1" applyBorder="1" applyAlignment="1">
      <alignment horizontal="right" vertical="center"/>
      <protection/>
    </xf>
    <xf numFmtId="200" fontId="21" fillId="0" borderId="18" xfId="129" applyNumberFormat="1" applyFont="1" applyFill="1" applyBorder="1" applyAlignment="1">
      <alignment horizontal="right" vertical="center"/>
      <protection/>
    </xf>
    <xf numFmtId="200" fontId="21" fillId="0" borderId="11" xfId="129" applyNumberFormat="1" applyFont="1" applyFill="1" applyBorder="1" applyAlignment="1">
      <alignment horizontal="right" vertical="center"/>
      <protection/>
    </xf>
    <xf numFmtId="0" fontId="30" fillId="0" borderId="0" xfId="129" applyFont="1" applyAlignment="1">
      <alignment horizontal="center" vertical="center"/>
      <protection/>
    </xf>
    <xf numFmtId="0" fontId="21" fillId="0" borderId="0" xfId="129" applyFont="1" applyAlignment="1">
      <alignment horizontal="right" vertical="top"/>
      <protection/>
    </xf>
    <xf numFmtId="0" fontId="121" fillId="33" borderId="0" xfId="129" applyFont="1" applyFill="1" applyAlignment="1">
      <alignment horizontal="center" vertical="center"/>
      <protection/>
    </xf>
    <xf numFmtId="0" fontId="21" fillId="0" borderId="13" xfId="129" applyNumberFormat="1" applyFont="1" applyBorder="1" applyAlignment="1">
      <alignment horizontal="center" vertical="center" wrapText="1"/>
      <protection/>
    </xf>
    <xf numFmtId="0" fontId="21" fillId="0" borderId="0" xfId="132" applyNumberFormat="1" applyFont="1" applyAlignment="1">
      <alignment horizontal="left" vertical="center"/>
      <protection/>
    </xf>
    <xf numFmtId="0" fontId="21" fillId="0" borderId="0" xfId="129" applyNumberFormat="1" applyFont="1" applyAlignment="1">
      <alignment horizontal="center" vertical="center"/>
      <protection/>
    </xf>
    <xf numFmtId="0" fontId="21" fillId="0" borderId="0" xfId="129" applyNumberFormat="1" applyFont="1" applyAlignment="1">
      <alignment horizontal="right" vertical="center"/>
      <protection/>
    </xf>
    <xf numFmtId="0" fontId="21" fillId="0" borderId="11" xfId="129" applyNumberFormat="1" applyFont="1" applyBorder="1" applyAlignment="1">
      <alignment horizontal="center" vertical="center"/>
      <protection/>
    </xf>
    <xf numFmtId="0" fontId="21" fillId="0" borderId="11" xfId="129" applyNumberFormat="1" applyFont="1" applyBorder="1" applyAlignment="1">
      <alignment horizontal="right" vertical="center"/>
      <protection/>
    </xf>
    <xf numFmtId="0" fontId="21" fillId="0" borderId="11" xfId="129" applyNumberFormat="1" applyFont="1" applyBorder="1" applyAlignment="1">
      <alignment vertical="center"/>
      <protection/>
    </xf>
    <xf numFmtId="0" fontId="21" fillId="0" borderId="12" xfId="129" applyNumberFormat="1" applyFont="1" applyBorder="1" applyAlignment="1">
      <alignment horizontal="center" vertical="center" wrapText="1"/>
      <protection/>
    </xf>
    <xf numFmtId="0" fontId="21" fillId="0" borderId="25" xfId="129" applyNumberFormat="1" applyFont="1" applyBorder="1" applyAlignment="1">
      <alignment horizontal="center" vertical="center" wrapText="1"/>
      <protection/>
    </xf>
    <xf numFmtId="0" fontId="21" fillId="0" borderId="14" xfId="129" applyNumberFormat="1" applyFont="1" applyBorder="1" applyAlignment="1">
      <alignment horizontal="center" vertical="center" wrapText="1"/>
      <protection/>
    </xf>
    <xf numFmtId="0" fontId="21" fillId="0" borderId="21" xfId="129" applyNumberFormat="1" applyFont="1" applyBorder="1" applyAlignment="1">
      <alignment horizontal="center" vertical="center" wrapText="1"/>
      <protection/>
    </xf>
    <xf numFmtId="0" fontId="21" fillId="0" borderId="26" xfId="0" applyNumberFormat="1" applyFont="1" applyBorder="1" applyAlignment="1">
      <alignment horizontal="center" vertical="center" wrapText="1"/>
    </xf>
    <xf numFmtId="0" fontId="21" fillId="0" borderId="16" xfId="0" applyNumberFormat="1" applyFont="1" applyBorder="1" applyAlignment="1">
      <alignment horizontal="center" vertical="center" wrapText="1"/>
    </xf>
    <xf numFmtId="0" fontId="21" fillId="0" borderId="20" xfId="0" applyNumberFormat="1"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19" xfId="0" applyNumberFormat="1" applyFont="1" applyFill="1" applyBorder="1" applyAlignment="1">
      <alignment horizontal="center" vertical="center" wrapText="1"/>
    </xf>
    <xf numFmtId="0" fontId="21" fillId="0" borderId="16" xfId="0" applyNumberFormat="1" applyFont="1" applyFill="1" applyBorder="1" applyAlignment="1">
      <alignment horizontal="center" vertical="center" wrapText="1"/>
    </xf>
    <xf numFmtId="0" fontId="21" fillId="0" borderId="0" xfId="129" applyNumberFormat="1" applyFont="1" applyAlignment="1">
      <alignment horizontal="center" vertical="center" wrapText="1"/>
      <protection/>
    </xf>
    <xf numFmtId="0" fontId="21" fillId="0" borderId="0" xfId="129" applyNumberFormat="1" applyFont="1" applyAlignment="1">
      <alignment vertical="center"/>
      <protection/>
    </xf>
    <xf numFmtId="0" fontId="21" fillId="0" borderId="0" xfId="129" applyNumberFormat="1" applyFont="1" applyFill="1" applyAlignment="1">
      <alignment vertical="center"/>
      <protection/>
    </xf>
    <xf numFmtId="0" fontId="21" fillId="0" borderId="0" xfId="129" applyNumberFormat="1" applyFont="1" applyBorder="1" applyAlignment="1">
      <alignment horizontal="right" vertical="center"/>
      <protection/>
    </xf>
    <xf numFmtId="0" fontId="21" fillId="0" borderId="0" xfId="0" applyNumberFormat="1" applyFont="1" applyAlignment="1">
      <alignment vertical="center"/>
    </xf>
    <xf numFmtId="0" fontId="21" fillId="0" borderId="0" xfId="129" applyNumberFormat="1" applyFont="1" applyAlignment="1">
      <alignment horizontal="left" vertical="center"/>
      <protection/>
    </xf>
    <xf numFmtId="0" fontId="21" fillId="0" borderId="0" xfId="129" applyNumberFormat="1" applyFont="1" applyBorder="1" applyAlignment="1">
      <alignment horizontal="center" vertical="center"/>
      <protection/>
    </xf>
    <xf numFmtId="0" fontId="21" fillId="0" borderId="0" xfId="129" applyNumberFormat="1" applyFont="1" applyBorder="1" applyAlignment="1">
      <alignment horizontal="center" vertical="center" wrapText="1"/>
      <protection/>
    </xf>
    <xf numFmtId="0" fontId="21" fillId="0" borderId="0" xfId="129" applyNumberFormat="1" applyFont="1" applyBorder="1" applyAlignment="1">
      <alignment vertical="center"/>
      <protection/>
    </xf>
    <xf numFmtId="0" fontId="21" fillId="0" borderId="14" xfId="129" applyNumberFormat="1" applyFont="1" applyFill="1" applyBorder="1" applyAlignment="1">
      <alignment horizontal="center" vertical="center" wrapText="1"/>
      <protection/>
    </xf>
    <xf numFmtId="0" fontId="21" fillId="0" borderId="13" xfId="129" applyNumberFormat="1" applyFont="1" applyFill="1" applyBorder="1" applyAlignment="1">
      <alignment horizontal="center" vertical="center" wrapText="1"/>
      <protection/>
    </xf>
    <xf numFmtId="0" fontId="21" fillId="0" borderId="0" xfId="129" applyNumberFormat="1" applyFont="1" applyFill="1" applyAlignment="1">
      <alignment horizontal="left" vertical="center"/>
      <protection/>
    </xf>
    <xf numFmtId="0" fontId="21" fillId="0" borderId="0" xfId="0" applyNumberFormat="1" applyFont="1" applyBorder="1" applyAlignment="1">
      <alignment horizontal="center" vertical="center"/>
    </xf>
    <xf numFmtId="0" fontId="21" fillId="0" borderId="12" xfId="129" applyNumberFormat="1" applyFont="1" applyBorder="1" applyAlignment="1">
      <alignment horizontal="left" vertical="center" wrapText="1"/>
      <protection/>
    </xf>
    <xf numFmtId="0" fontId="21" fillId="0" borderId="21" xfId="129" applyNumberFormat="1" applyFont="1" applyBorder="1" applyAlignment="1">
      <alignment horizontal="left" vertical="center" wrapText="1"/>
      <protection/>
    </xf>
    <xf numFmtId="0" fontId="21" fillId="0" borderId="0" xfId="127" applyNumberFormat="1" applyFont="1">
      <alignment/>
      <protection/>
    </xf>
    <xf numFmtId="0" fontId="21" fillId="0" borderId="0" xfId="0" applyNumberFormat="1" applyFont="1" applyAlignment="1">
      <alignment horizontal="center" vertical="center"/>
    </xf>
    <xf numFmtId="0" fontId="21" fillId="0" borderId="0" xfId="0" applyNumberFormat="1" applyFont="1" applyAlignment="1">
      <alignment horizontal="right" vertical="center"/>
    </xf>
    <xf numFmtId="0" fontId="21" fillId="0" borderId="0" xfId="0" applyNumberFormat="1" applyFont="1" applyBorder="1" applyAlignment="1">
      <alignment horizontal="right" vertical="center"/>
    </xf>
    <xf numFmtId="0" fontId="21" fillId="0" borderId="0" xfId="127" applyNumberFormat="1" applyFont="1" applyBorder="1" applyAlignment="1">
      <alignment horizontal="center" vertical="center"/>
      <protection/>
    </xf>
    <xf numFmtId="0" fontId="21" fillId="0" borderId="0" xfId="127" applyNumberFormat="1" applyFont="1" applyAlignment="1">
      <alignment horizontal="center" vertical="center"/>
      <protection/>
    </xf>
    <xf numFmtId="0" fontId="21" fillId="0" borderId="25" xfId="127" applyNumberFormat="1" applyFont="1" applyBorder="1" applyAlignment="1">
      <alignment horizontal="center" vertical="center" wrapText="1"/>
      <protection/>
    </xf>
    <xf numFmtId="0" fontId="21" fillId="0" borderId="13" xfId="127" applyNumberFormat="1" applyFont="1" applyBorder="1" applyAlignment="1">
      <alignment horizontal="center" vertical="center" wrapText="1"/>
      <protection/>
    </xf>
    <xf numFmtId="0" fontId="21" fillId="0" borderId="14" xfId="127" applyNumberFormat="1" applyFont="1" applyBorder="1" applyAlignment="1">
      <alignment horizontal="center" vertical="center" wrapText="1"/>
      <protection/>
    </xf>
    <xf numFmtId="0" fontId="21" fillId="0" borderId="15" xfId="127" applyNumberFormat="1" applyFont="1" applyBorder="1" applyAlignment="1">
      <alignment horizontal="center" vertical="center" wrapText="1"/>
      <protection/>
    </xf>
    <xf numFmtId="0" fontId="21" fillId="0" borderId="26" xfId="127" applyNumberFormat="1" applyFont="1" applyBorder="1" applyAlignment="1">
      <alignment horizontal="center" vertical="center" wrapText="1"/>
      <protection/>
    </xf>
    <xf numFmtId="0" fontId="21" fillId="0" borderId="16" xfId="127" applyNumberFormat="1" applyFont="1" applyBorder="1" applyAlignment="1">
      <alignment horizontal="center" vertical="center" wrapText="1"/>
      <protection/>
    </xf>
    <xf numFmtId="0" fontId="21" fillId="0" borderId="19" xfId="127" applyNumberFormat="1" applyFont="1" applyBorder="1" applyAlignment="1">
      <alignment horizontal="center" vertical="center" wrapText="1"/>
      <protection/>
    </xf>
    <xf numFmtId="0" fontId="21" fillId="0" borderId="20" xfId="127" applyNumberFormat="1" applyFont="1" applyBorder="1" applyAlignment="1">
      <alignment horizontal="center" vertical="center" wrapText="1"/>
      <protection/>
    </xf>
    <xf numFmtId="0" fontId="21" fillId="0" borderId="0" xfId="0" applyNumberFormat="1" applyFont="1" applyBorder="1" applyAlignment="1">
      <alignment vertical="center"/>
    </xf>
    <xf numFmtId="0" fontId="21" fillId="0" borderId="12" xfId="129" applyNumberFormat="1" applyFont="1" applyBorder="1" applyAlignment="1">
      <alignment horizontal="center" vertical="center" wrapText="1"/>
      <protection/>
    </xf>
    <xf numFmtId="0" fontId="21" fillId="0" borderId="21" xfId="129" applyNumberFormat="1" applyFont="1" applyBorder="1" applyAlignment="1">
      <alignment horizontal="center" vertical="center" wrapText="1"/>
      <protection/>
    </xf>
    <xf numFmtId="0" fontId="21" fillId="0" borderId="13" xfId="127" applyNumberFormat="1" applyFont="1" applyFill="1" applyBorder="1" applyAlignment="1">
      <alignment horizontal="center" vertical="center" wrapText="1"/>
      <protection/>
    </xf>
    <xf numFmtId="0" fontId="21" fillId="0" borderId="14" xfId="127" applyNumberFormat="1" applyFont="1" applyFill="1" applyBorder="1" applyAlignment="1">
      <alignment horizontal="center" vertical="center" wrapText="1"/>
      <protection/>
    </xf>
    <xf numFmtId="0" fontId="21" fillId="0" borderId="0" xfId="127" applyNumberFormat="1" applyFont="1" applyFill="1" applyAlignment="1">
      <alignment horizontal="center" vertical="center"/>
      <protection/>
    </xf>
    <xf numFmtId="0" fontId="21" fillId="0" borderId="16" xfId="127" applyNumberFormat="1" applyFont="1" applyFill="1" applyBorder="1" applyAlignment="1">
      <alignment horizontal="center" vertical="center" wrapText="1"/>
      <protection/>
    </xf>
    <xf numFmtId="0" fontId="21" fillId="0" borderId="19" xfId="127" applyNumberFormat="1" applyFont="1" applyFill="1" applyBorder="1" applyAlignment="1">
      <alignment horizontal="center" vertical="center" wrapText="1"/>
      <protection/>
    </xf>
    <xf numFmtId="0" fontId="21" fillId="0" borderId="0" xfId="132" applyNumberFormat="1" applyFont="1" applyFill="1" applyAlignment="1">
      <alignment horizontal="left" vertical="center"/>
      <protection/>
    </xf>
    <xf numFmtId="0" fontId="21" fillId="0" borderId="0" xfId="0" applyNumberFormat="1" applyFont="1" applyFill="1" applyBorder="1" applyAlignment="1">
      <alignment horizontal="center" vertical="center"/>
    </xf>
    <xf numFmtId="0" fontId="21" fillId="0" borderId="12" xfId="129" applyNumberFormat="1" applyFont="1" applyFill="1" applyBorder="1" applyAlignment="1">
      <alignment horizontal="center" vertical="center" wrapText="1"/>
      <protection/>
    </xf>
    <xf numFmtId="0" fontId="21" fillId="0" borderId="27" xfId="129" applyNumberFormat="1" applyFont="1" applyFill="1" applyBorder="1" applyAlignment="1">
      <alignment horizontal="center" vertical="center" wrapText="1"/>
      <protection/>
    </xf>
    <xf numFmtId="0" fontId="21" fillId="0" borderId="0" xfId="0" applyNumberFormat="1" applyFont="1" applyFill="1" applyAlignment="1">
      <alignment vertical="center"/>
    </xf>
    <xf numFmtId="0" fontId="21" fillId="0" borderId="0" xfId="127" applyNumberFormat="1" applyFont="1" applyFill="1" applyAlignment="1">
      <alignment vertical="center"/>
      <protection/>
    </xf>
    <xf numFmtId="0" fontId="21" fillId="0" borderId="0" xfId="0" applyNumberFormat="1" applyFont="1" applyFill="1" applyAlignment="1">
      <alignment horizontal="center" vertical="center"/>
    </xf>
    <xf numFmtId="0" fontId="21" fillId="0" borderId="0" xfId="0" applyNumberFormat="1" applyFont="1" applyFill="1" applyAlignment="1">
      <alignment horizontal="right" vertical="center"/>
    </xf>
    <xf numFmtId="0" fontId="21" fillId="0" borderId="0" xfId="129" applyNumberFormat="1" applyFont="1" applyFill="1" applyAlignment="1">
      <alignment horizontal="center" vertical="center"/>
      <protection/>
    </xf>
    <xf numFmtId="0"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wrapText="1"/>
    </xf>
    <xf numFmtId="0" fontId="21" fillId="0" borderId="21" xfId="0" applyNumberFormat="1" applyFont="1" applyBorder="1" applyAlignment="1">
      <alignment horizontal="center" vertical="center" wrapText="1"/>
    </xf>
    <xf numFmtId="0" fontId="21" fillId="0" borderId="14" xfId="0" applyNumberFormat="1" applyFont="1" applyBorder="1" applyAlignment="1">
      <alignment horizontal="center" vertical="center"/>
    </xf>
    <xf numFmtId="0" fontId="21" fillId="0" borderId="15"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21" fillId="0" borderId="28" xfId="129" applyNumberFormat="1" applyFont="1" applyBorder="1" applyAlignment="1">
      <alignment horizontal="center" vertical="center"/>
      <protection/>
    </xf>
    <xf numFmtId="0" fontId="21" fillId="0" borderId="29" xfId="0" applyNumberFormat="1" applyFont="1" applyBorder="1" applyAlignment="1">
      <alignment horizontal="center" vertical="center"/>
    </xf>
    <xf numFmtId="0" fontId="2" fillId="0" borderId="20" xfId="0" applyNumberFormat="1" applyFont="1" applyBorder="1" applyAlignment="1">
      <alignment horizontal="center" vertical="center" wrapText="1"/>
    </xf>
    <xf numFmtId="0" fontId="21" fillId="0" borderId="13" xfId="0" applyNumberFormat="1" applyFont="1" applyBorder="1" applyAlignment="1">
      <alignment horizontal="center" vertical="center" wrapText="1"/>
    </xf>
    <xf numFmtId="0" fontId="21" fillId="0" borderId="30" xfId="0" applyNumberFormat="1" applyFont="1" applyBorder="1" applyAlignment="1">
      <alignment vertical="center"/>
    </xf>
    <xf numFmtId="0" fontId="21" fillId="0" borderId="14" xfId="0" applyNumberFormat="1" applyFont="1" applyBorder="1" applyAlignment="1">
      <alignment vertical="center"/>
    </xf>
    <xf numFmtId="0" fontId="21" fillId="0" borderId="28" xfId="0" applyNumberFormat="1" applyFont="1" applyBorder="1" applyAlignment="1">
      <alignment horizontal="center" vertical="center"/>
    </xf>
    <xf numFmtId="0" fontId="10" fillId="0" borderId="13" xfId="0" applyNumberFormat="1" applyFont="1" applyBorder="1" applyAlignment="1">
      <alignment horizontal="center" vertical="center" wrapText="1"/>
    </xf>
    <xf numFmtId="0" fontId="34" fillId="0" borderId="13"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32" fillId="0" borderId="16"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1" fillId="0" borderId="2" xfId="129" applyNumberFormat="1" applyFont="1" applyBorder="1" applyAlignment="1">
      <alignment horizontal="center" vertical="center" wrapText="1"/>
      <protection/>
    </xf>
    <xf numFmtId="0" fontId="21" fillId="0" borderId="29" xfId="129" applyNumberFormat="1" applyFont="1" applyBorder="1" applyAlignment="1">
      <alignment horizontal="center" vertical="center" wrapText="1"/>
      <protection/>
    </xf>
    <xf numFmtId="0" fontId="21" fillId="0" borderId="31" xfId="129" applyNumberFormat="1" applyFont="1" applyBorder="1" applyAlignment="1">
      <alignment horizontal="center" vertical="center" wrapText="1"/>
      <protection/>
    </xf>
    <xf numFmtId="0" fontId="21" fillId="0" borderId="26" xfId="129" applyNumberFormat="1" applyFont="1" applyBorder="1" applyAlignment="1">
      <alignment horizontal="center" vertical="center" wrapText="1"/>
      <protection/>
    </xf>
    <xf numFmtId="0" fontId="21" fillId="0" borderId="16" xfId="129" applyNumberFormat="1" applyFont="1" applyBorder="1" applyAlignment="1">
      <alignment horizontal="center" vertical="center" wrapText="1"/>
      <protection/>
    </xf>
    <xf numFmtId="0" fontId="2" fillId="0" borderId="16" xfId="129" applyNumberFormat="1" applyFont="1" applyBorder="1" applyAlignment="1">
      <alignment horizontal="center" vertical="center" wrapText="1"/>
      <protection/>
    </xf>
    <xf numFmtId="0" fontId="21" fillId="0" borderId="19" xfId="129" applyNumberFormat="1" applyFont="1" applyBorder="1" applyAlignment="1">
      <alignment horizontal="center" vertical="center" wrapText="1"/>
      <protection/>
    </xf>
    <xf numFmtId="0" fontId="21" fillId="0" borderId="20" xfId="129" applyNumberFormat="1" applyFont="1" applyBorder="1" applyAlignment="1">
      <alignment horizontal="center" vertical="center" wrapText="1"/>
      <protection/>
    </xf>
    <xf numFmtId="0" fontId="21" fillId="0" borderId="0" xfId="129" applyNumberFormat="1" applyFont="1" applyFill="1" applyBorder="1" applyAlignment="1">
      <alignment vertical="center"/>
      <protection/>
    </xf>
    <xf numFmtId="0" fontId="21" fillId="0" borderId="0" xfId="129" applyNumberFormat="1" applyFont="1" applyAlignment="1">
      <alignment vertical="center" wrapText="1"/>
      <protection/>
    </xf>
    <xf numFmtId="0" fontId="2" fillId="0" borderId="13" xfId="129" applyNumberFormat="1" applyFont="1" applyBorder="1" applyAlignment="1">
      <alignment horizontal="center" vertical="center" wrapText="1"/>
      <protection/>
    </xf>
    <xf numFmtId="0" fontId="21" fillId="0" borderId="15" xfId="129" applyNumberFormat="1" applyFont="1" applyBorder="1" applyAlignment="1">
      <alignment horizontal="center" vertical="center" wrapText="1"/>
      <protection/>
    </xf>
    <xf numFmtId="0" fontId="32" fillId="0" borderId="16" xfId="129" applyNumberFormat="1" applyFont="1" applyBorder="1" applyAlignment="1">
      <alignment horizontal="center" vertical="center" wrapText="1"/>
      <protection/>
    </xf>
    <xf numFmtId="0" fontId="21" fillId="0" borderId="16" xfId="129" applyNumberFormat="1" applyFont="1" applyFill="1" applyBorder="1" applyAlignment="1">
      <alignment horizontal="center" vertical="center" wrapText="1"/>
      <protection/>
    </xf>
    <xf numFmtId="0" fontId="21" fillId="0" borderId="0" xfId="129" applyNumberFormat="1" applyFont="1" applyFill="1" applyBorder="1" applyAlignment="1">
      <alignment horizontal="center" vertical="center"/>
      <protection/>
    </xf>
    <xf numFmtId="0" fontId="2" fillId="0" borderId="19" xfId="129" applyNumberFormat="1" applyFont="1" applyBorder="1" applyAlignment="1">
      <alignment horizontal="center" vertical="center" wrapText="1"/>
      <protection/>
    </xf>
    <xf numFmtId="0" fontId="21" fillId="0" borderId="21" xfId="129" applyNumberFormat="1" applyFont="1" applyFill="1" applyBorder="1" applyAlignment="1">
      <alignment horizontal="center" vertical="center"/>
      <protection/>
    </xf>
    <xf numFmtId="0" fontId="21" fillId="0" borderId="12" xfId="129" applyNumberFormat="1" applyFont="1" applyFill="1" applyBorder="1" applyAlignment="1">
      <alignment horizontal="center" vertical="center" wrapText="1"/>
      <protection/>
    </xf>
    <xf numFmtId="0" fontId="21" fillId="0" borderId="0" xfId="129" applyNumberFormat="1" applyFont="1" applyFill="1">
      <alignment/>
      <protection/>
    </xf>
    <xf numFmtId="0" fontId="21" fillId="0" borderId="0" xfId="129" applyNumberFormat="1" applyFont="1" applyFill="1" applyAlignment="1">
      <alignment horizontal="right" vertical="center"/>
      <protection/>
    </xf>
    <xf numFmtId="0" fontId="21" fillId="0" borderId="13" xfId="129" applyNumberFormat="1" applyFont="1" applyFill="1" applyBorder="1" applyAlignment="1">
      <alignment horizontal="center" vertical="center"/>
      <protection/>
    </xf>
    <xf numFmtId="0" fontId="21" fillId="0" borderId="14" xfId="129" applyNumberFormat="1" applyFont="1" applyFill="1" applyBorder="1" applyAlignment="1">
      <alignment horizontal="center" vertical="center"/>
      <protection/>
    </xf>
    <xf numFmtId="0" fontId="21" fillId="0" borderId="29" xfId="129" applyNumberFormat="1" applyFont="1" applyFill="1" applyBorder="1" applyAlignment="1">
      <alignment horizontal="center" vertical="center" wrapText="1"/>
      <protection/>
    </xf>
    <xf numFmtId="0" fontId="21" fillId="0" borderId="18" xfId="129" applyNumberFormat="1" applyFont="1" applyFill="1" applyBorder="1" applyAlignment="1">
      <alignment horizontal="center" vertical="center" wrapText="1"/>
      <protection/>
    </xf>
    <xf numFmtId="0" fontId="21" fillId="0" borderId="19" xfId="129" applyNumberFormat="1" applyFont="1" applyFill="1" applyBorder="1" applyAlignment="1">
      <alignment horizontal="center" vertical="center" wrapText="1"/>
      <protection/>
    </xf>
    <xf numFmtId="0" fontId="21" fillId="0" borderId="20" xfId="129" applyNumberFormat="1" applyFont="1" applyFill="1" applyBorder="1" applyAlignment="1">
      <alignment horizontal="center" vertical="center" wrapText="1"/>
      <protection/>
    </xf>
    <xf numFmtId="0" fontId="21" fillId="0" borderId="0" xfId="129" applyNumberFormat="1" applyFont="1" applyFill="1" applyBorder="1" applyAlignment="1">
      <alignment vertical="center" wrapText="1"/>
      <protection/>
    </xf>
    <xf numFmtId="0" fontId="21" fillId="0" borderId="32" xfId="129" applyNumberFormat="1" applyFont="1" applyBorder="1" applyAlignment="1">
      <alignment horizontal="center" vertical="center"/>
      <protection/>
    </xf>
    <xf numFmtId="0" fontId="21" fillId="0" borderId="12" xfId="129" applyNumberFormat="1" applyFont="1" applyBorder="1" applyAlignment="1">
      <alignment horizontal="center" vertical="center"/>
      <protection/>
    </xf>
    <xf numFmtId="0" fontId="24" fillId="0" borderId="12" xfId="129" applyNumberFormat="1" applyFont="1" applyBorder="1" applyAlignment="1">
      <alignment horizontal="center" vertical="center" wrapText="1"/>
      <protection/>
    </xf>
    <xf numFmtId="0" fontId="24" fillId="0" borderId="21" xfId="129" applyNumberFormat="1" applyFont="1" applyBorder="1" applyAlignment="1">
      <alignment horizontal="center" vertical="center" wrapText="1"/>
      <protection/>
    </xf>
    <xf numFmtId="0" fontId="21" fillId="0" borderId="14" xfId="129" applyNumberFormat="1" applyFont="1" applyBorder="1" applyAlignment="1">
      <alignment horizontal="center" vertical="center"/>
      <protection/>
    </xf>
    <xf numFmtId="0" fontId="21" fillId="0" borderId="13" xfId="129" applyNumberFormat="1" applyFont="1" applyBorder="1" applyAlignment="1">
      <alignment horizontal="center" vertical="center"/>
      <protection/>
    </xf>
    <xf numFmtId="0" fontId="21" fillId="0" borderId="29" xfId="129" applyNumberFormat="1" applyFont="1" applyBorder="1" applyAlignment="1">
      <alignment horizontal="center" vertical="center"/>
      <protection/>
    </xf>
    <xf numFmtId="0" fontId="21" fillId="0" borderId="15" xfId="129" applyNumberFormat="1" applyFont="1" applyBorder="1" applyAlignment="1">
      <alignment horizontal="center" vertical="distributed"/>
      <protection/>
    </xf>
    <xf numFmtId="0" fontId="21" fillId="0" borderId="13" xfId="129" applyNumberFormat="1" applyFont="1" applyBorder="1" applyAlignment="1">
      <alignment horizontal="center" vertical="distributed"/>
      <protection/>
    </xf>
    <xf numFmtId="0" fontId="21" fillId="0" borderId="2" xfId="129" applyNumberFormat="1" applyFont="1" applyBorder="1" applyAlignment="1">
      <alignment horizontal="center" vertical="center"/>
      <protection/>
    </xf>
    <xf numFmtId="0" fontId="21" fillId="0" borderId="15" xfId="129" applyNumberFormat="1" applyFont="1" applyBorder="1" applyAlignment="1">
      <alignment horizontal="center" vertical="center"/>
      <protection/>
    </xf>
    <xf numFmtId="0" fontId="21" fillId="0" borderId="16" xfId="129" applyNumberFormat="1" applyFont="1" applyBorder="1" applyAlignment="1">
      <alignment horizontal="center" vertical="distributed"/>
      <protection/>
    </xf>
    <xf numFmtId="0" fontId="21" fillId="0" borderId="16" xfId="129" applyNumberFormat="1" applyFont="1" applyBorder="1" applyAlignment="1">
      <alignment horizontal="center" vertical="center"/>
      <protection/>
    </xf>
    <xf numFmtId="0" fontId="21" fillId="0" borderId="20" xfId="129" applyNumberFormat="1" applyFont="1" applyBorder="1" applyAlignment="1">
      <alignment horizontal="center" vertical="center"/>
      <protection/>
    </xf>
    <xf numFmtId="0" fontId="24" fillId="0" borderId="0" xfId="129" applyNumberFormat="1" applyFont="1" applyBorder="1" applyAlignment="1">
      <alignment horizontal="center" vertical="center" wrapText="1"/>
      <protection/>
    </xf>
    <xf numFmtId="0" fontId="21" fillId="0" borderId="0" xfId="129" applyNumberFormat="1" applyFont="1">
      <alignment/>
      <protection/>
    </xf>
    <xf numFmtId="0" fontId="21" fillId="0" borderId="0" xfId="129" applyNumberFormat="1" applyFont="1" applyAlignment="1">
      <alignment horizontal="right" vertical="top"/>
      <protection/>
    </xf>
    <xf numFmtId="0" fontId="21" fillId="0" borderId="33" xfId="129" applyNumberFormat="1" applyFont="1" applyBorder="1" applyAlignment="1">
      <alignment horizontal="center" vertical="distributed"/>
      <protection/>
    </xf>
    <xf numFmtId="0" fontId="21" fillId="0" borderId="20" xfId="129" applyNumberFormat="1" applyFont="1" applyBorder="1" applyAlignment="1">
      <alignment horizontal="center" vertical="distributed"/>
      <protection/>
    </xf>
    <xf numFmtId="0" fontId="21" fillId="0" borderId="17" xfId="129" applyNumberFormat="1" applyFont="1" applyBorder="1" applyAlignment="1">
      <alignment horizontal="center" vertical="distributed" wrapText="1"/>
      <protection/>
    </xf>
    <xf numFmtId="0" fontId="21" fillId="0" borderId="16" xfId="129" applyNumberFormat="1" applyFont="1" applyBorder="1" applyAlignment="1">
      <alignment horizontal="center" vertical="distributed" wrapText="1"/>
      <protection/>
    </xf>
    <xf numFmtId="0" fontId="24" fillId="0" borderId="12" xfId="129" applyNumberFormat="1" applyFont="1" applyBorder="1" applyAlignment="1">
      <alignment horizontal="center" vertical="center" wrapText="1"/>
      <protection/>
    </xf>
    <xf numFmtId="0" fontId="21" fillId="0" borderId="23" xfId="129" applyNumberFormat="1" applyFont="1" applyBorder="1" applyAlignment="1">
      <alignment vertical="center" wrapText="1"/>
      <protection/>
    </xf>
    <xf numFmtId="0" fontId="21" fillId="0" borderId="0" xfId="129" applyNumberFormat="1" applyFont="1" applyBorder="1" applyAlignment="1">
      <alignment horizontal="left" vertical="center"/>
      <protection/>
    </xf>
    <xf numFmtId="0" fontId="21" fillId="0" borderId="0" xfId="137" applyNumberFormat="1" applyFont="1" applyAlignment="1">
      <alignment horizontal="right" vertical="center"/>
    </xf>
    <xf numFmtId="0" fontId="21" fillId="0" borderId="0" xfId="129" applyNumberFormat="1" applyFont="1" applyBorder="1" applyAlignment="1">
      <alignment horizontal="center" vertical="center" wrapText="1"/>
      <protection/>
    </xf>
    <xf numFmtId="0" fontId="21" fillId="0" borderId="34" xfId="129" applyNumberFormat="1" applyFont="1" applyBorder="1" applyAlignment="1">
      <alignment horizontal="center" vertical="center"/>
      <protection/>
    </xf>
    <xf numFmtId="0" fontId="21" fillId="0" borderId="0" xfId="137" applyNumberFormat="1" applyFont="1" applyAlignment="1">
      <alignment vertical="center"/>
    </xf>
    <xf numFmtId="0" fontId="21" fillId="0" borderId="0" xfId="137" applyNumberFormat="1" applyFont="1" applyAlignment="1">
      <alignment horizontal="center" vertical="center"/>
    </xf>
    <xf numFmtId="0" fontId="10" fillId="0" borderId="15" xfId="129" applyNumberFormat="1" applyFont="1" applyBorder="1" applyAlignment="1">
      <alignment horizontal="center" vertical="center" wrapText="1"/>
      <protection/>
    </xf>
    <xf numFmtId="0" fontId="10" fillId="0" borderId="13" xfId="129" applyNumberFormat="1" applyFont="1" applyBorder="1" applyAlignment="1">
      <alignment horizontal="center" vertical="center" wrapText="1"/>
      <protection/>
    </xf>
    <xf numFmtId="0" fontId="21" fillId="0" borderId="25" xfId="129" applyNumberFormat="1" applyFont="1" applyFill="1" applyBorder="1" applyAlignment="1">
      <alignment horizontal="center" vertical="center"/>
      <protection/>
    </xf>
    <xf numFmtId="0" fontId="21" fillId="0" borderId="34" xfId="129" applyNumberFormat="1" applyFont="1" applyFill="1" applyBorder="1" applyAlignment="1">
      <alignment horizontal="center" vertical="center" wrapText="1"/>
      <protection/>
    </xf>
    <xf numFmtId="0" fontId="21" fillId="0" borderId="25" xfId="129" applyNumberFormat="1" applyFont="1" applyBorder="1" applyAlignment="1">
      <alignment horizontal="center" vertical="center"/>
      <protection/>
    </xf>
    <xf numFmtId="0" fontId="21" fillId="0" borderId="18" xfId="129" applyNumberFormat="1" applyFont="1" applyBorder="1" applyAlignment="1">
      <alignment horizontal="center" vertical="center" wrapText="1"/>
      <protection/>
    </xf>
    <xf numFmtId="0" fontId="21" fillId="0" borderId="0" xfId="129" applyNumberFormat="1" applyFont="1" applyBorder="1" applyAlignment="1">
      <alignment vertical="center" wrapText="1"/>
      <protection/>
    </xf>
    <xf numFmtId="0" fontId="21" fillId="0" borderId="12" xfId="129" applyNumberFormat="1" applyFont="1" applyBorder="1" applyAlignment="1">
      <alignment vertical="center" wrapText="1"/>
      <protection/>
    </xf>
    <xf numFmtId="0" fontId="21" fillId="0" borderId="21" xfId="129" applyNumberFormat="1" applyFont="1" applyBorder="1" applyAlignment="1">
      <alignment vertical="center" wrapText="1"/>
      <protection/>
    </xf>
    <xf numFmtId="0" fontId="21" fillId="0" borderId="12" xfId="129" applyNumberFormat="1" applyFont="1" applyFill="1" applyBorder="1" applyAlignment="1">
      <alignment vertical="center" wrapText="1"/>
      <protection/>
    </xf>
    <xf numFmtId="0" fontId="21" fillId="0" borderId="21" xfId="129" applyNumberFormat="1" applyFont="1" applyFill="1" applyBorder="1" applyAlignment="1">
      <alignment vertical="center" wrapText="1"/>
      <protection/>
    </xf>
    <xf numFmtId="0" fontId="21" fillId="0" borderId="12" xfId="129" applyNumberFormat="1" applyFont="1" applyFill="1" applyBorder="1" applyAlignment="1">
      <alignment horizontal="left" vertical="center" wrapText="1"/>
      <protection/>
    </xf>
    <xf numFmtId="0" fontId="21" fillId="0" borderId="11" xfId="129" applyNumberFormat="1" applyFont="1" applyFill="1" applyBorder="1" applyAlignment="1">
      <alignment horizontal="center" vertical="center"/>
      <protection/>
    </xf>
    <xf numFmtId="0" fontId="21" fillId="0" borderId="11" xfId="129" applyNumberFormat="1" applyFont="1" applyFill="1" applyBorder="1" applyAlignment="1">
      <alignment vertical="center" wrapText="1"/>
      <protection/>
    </xf>
    <xf numFmtId="0" fontId="21" fillId="0" borderId="0" xfId="129" applyNumberFormat="1" applyFont="1" applyFill="1" applyAlignment="1">
      <alignment horizontal="center" vertical="center" wrapText="1"/>
      <protection/>
    </xf>
    <xf numFmtId="0" fontId="2" fillId="0" borderId="29" xfId="129" applyNumberFormat="1" applyFont="1" applyFill="1" applyBorder="1" applyAlignment="1">
      <alignment horizontal="center" vertical="center"/>
      <protection/>
    </xf>
    <xf numFmtId="0" fontId="2" fillId="0" borderId="29" xfId="129" applyNumberFormat="1" applyFont="1" applyFill="1" applyBorder="1" applyAlignment="1">
      <alignment horizontal="center" vertical="center" wrapText="1"/>
      <protection/>
    </xf>
    <xf numFmtId="0" fontId="21" fillId="0" borderId="0" xfId="129" applyNumberFormat="1" applyFont="1" applyFill="1" applyBorder="1" applyAlignment="1">
      <alignment horizontal="left" vertical="center"/>
      <protection/>
    </xf>
    <xf numFmtId="0" fontId="2" fillId="0" borderId="34" xfId="129" applyNumberFormat="1" applyFont="1" applyFill="1" applyBorder="1" applyAlignment="1">
      <alignment horizontal="center" vertical="center"/>
      <protection/>
    </xf>
    <xf numFmtId="0" fontId="2" fillId="0" borderId="13" xfId="129" applyNumberFormat="1" applyFont="1" applyFill="1" applyBorder="1" applyAlignment="1">
      <alignment horizontal="center" vertical="center" wrapText="1"/>
      <protection/>
    </xf>
    <xf numFmtId="0" fontId="2" fillId="0" borderId="14" xfId="129" applyNumberFormat="1" applyFont="1" applyFill="1" applyBorder="1" applyAlignment="1">
      <alignment horizontal="center" vertical="center" wrapText="1"/>
      <protection/>
    </xf>
    <xf numFmtId="0" fontId="2" fillId="0" borderId="15" xfId="129" applyNumberFormat="1" applyFont="1" applyFill="1" applyBorder="1" applyAlignment="1">
      <alignment horizontal="center" vertical="center" wrapText="1"/>
      <protection/>
    </xf>
    <xf numFmtId="0" fontId="2" fillId="0" borderId="2" xfId="129" applyNumberFormat="1" applyFont="1" applyFill="1" applyBorder="1" applyAlignment="1">
      <alignment horizontal="center" vertical="center"/>
      <protection/>
    </xf>
    <xf numFmtId="0" fontId="2" fillId="0" borderId="23" xfId="129" applyNumberFormat="1" applyFont="1" applyFill="1" applyBorder="1" applyAlignment="1">
      <alignment horizontal="center" vertical="center"/>
      <protection/>
    </xf>
    <xf numFmtId="0" fontId="17" fillId="0" borderId="16" xfId="129" applyNumberFormat="1" applyFont="1" applyFill="1" applyBorder="1" applyAlignment="1">
      <alignment horizontal="center" vertical="top" wrapText="1"/>
      <protection/>
    </xf>
    <xf numFmtId="0" fontId="17" fillId="0" borderId="19" xfId="129" applyNumberFormat="1" applyFont="1" applyFill="1" applyBorder="1" applyAlignment="1">
      <alignment horizontal="center" vertical="top" wrapText="1"/>
      <protection/>
    </xf>
    <xf numFmtId="0" fontId="17" fillId="0" borderId="20" xfId="129" applyNumberFormat="1" applyFont="1" applyFill="1" applyBorder="1" applyAlignment="1">
      <alignment horizontal="center" vertical="top" wrapText="1"/>
      <protection/>
    </xf>
    <xf numFmtId="0" fontId="21" fillId="0" borderId="12" xfId="129" applyNumberFormat="1" applyFont="1" applyFill="1" applyBorder="1" applyAlignment="1">
      <alignment horizontal="left" vertical="center"/>
      <protection/>
    </xf>
    <xf numFmtId="0" fontId="21" fillId="0" borderId="0" xfId="128" applyNumberFormat="1" applyFont="1" applyFill="1">
      <alignment vertical="center"/>
      <protection/>
    </xf>
    <xf numFmtId="0" fontId="21" fillId="0" borderId="11" xfId="133" applyNumberFormat="1" applyFont="1" applyFill="1" applyBorder="1" applyAlignment="1">
      <alignment horizontal="center" vertical="center"/>
      <protection/>
    </xf>
    <xf numFmtId="0" fontId="21" fillId="0" borderId="0" xfId="133" applyNumberFormat="1" applyFont="1" applyFill="1" applyBorder="1" applyAlignment="1">
      <alignment horizontal="center" vertical="center"/>
      <protection/>
    </xf>
    <xf numFmtId="0" fontId="21" fillId="0" borderId="0" xfId="128" applyNumberFormat="1" applyFont="1" applyFill="1" applyAlignment="1">
      <alignment horizontal="left" vertical="center"/>
      <protection/>
    </xf>
    <xf numFmtId="0" fontId="21" fillId="0" borderId="12" xfId="133" applyNumberFormat="1" applyFont="1" applyFill="1" applyBorder="1" applyAlignment="1">
      <alignment horizontal="left" vertical="center"/>
      <protection/>
    </xf>
    <xf numFmtId="0" fontId="21" fillId="0" borderId="12" xfId="134" applyNumberFormat="1" applyFont="1" applyFill="1" applyBorder="1" applyAlignment="1">
      <alignment horizontal="left" vertical="center"/>
      <protection/>
    </xf>
    <xf numFmtId="0" fontId="21" fillId="0" borderId="12" xfId="134" applyNumberFormat="1" applyFont="1" applyFill="1" applyBorder="1" applyAlignment="1">
      <alignment horizontal="left" vertical="center" wrapText="1"/>
      <protection/>
    </xf>
    <xf numFmtId="0" fontId="21" fillId="0" borderId="0" xfId="128" applyNumberFormat="1" applyFont="1" applyFill="1" applyBorder="1" applyAlignment="1">
      <alignment horizontal="left" vertical="center"/>
      <protection/>
    </xf>
    <xf numFmtId="0" fontId="21" fillId="0" borderId="21" xfId="133" applyNumberFormat="1" applyFont="1" applyFill="1" applyBorder="1" applyAlignment="1">
      <alignment horizontal="left" vertical="center"/>
      <protection/>
    </xf>
    <xf numFmtId="0" fontId="24" fillId="0" borderId="0" xfId="0" applyNumberFormat="1" applyFont="1" applyFill="1" applyAlignment="1">
      <alignment horizontal="left" vertical="center"/>
    </xf>
    <xf numFmtId="0" fontId="24" fillId="0" borderId="0" xfId="136" applyNumberFormat="1" applyFont="1" applyFill="1" applyAlignment="1">
      <alignment vertical="center"/>
      <protection/>
    </xf>
    <xf numFmtId="0" fontId="21" fillId="0" borderId="0" xfId="133" applyNumberFormat="1" applyFont="1" applyFill="1" applyAlignment="1">
      <alignment horizontal="center" vertical="center"/>
      <protection/>
    </xf>
    <xf numFmtId="0" fontId="21" fillId="0" borderId="0" xfId="133" applyNumberFormat="1" applyFont="1" applyFill="1" applyAlignment="1">
      <alignment vertical="center"/>
      <protection/>
    </xf>
    <xf numFmtId="0" fontId="30" fillId="0" borderId="0" xfId="133" applyNumberFormat="1" applyFont="1" applyFill="1" applyAlignment="1">
      <alignment vertical="center"/>
      <protection/>
    </xf>
    <xf numFmtId="0" fontId="30" fillId="0" borderId="0" xfId="133" applyNumberFormat="1" applyFont="1" applyFill="1" applyAlignment="1">
      <alignment horizontal="center" vertical="center"/>
      <protection/>
    </xf>
    <xf numFmtId="0" fontId="21" fillId="0" borderId="11" xfId="133" applyNumberFormat="1" applyFont="1" applyFill="1" applyBorder="1" applyAlignment="1">
      <alignment horizontal="right" vertical="center"/>
      <protection/>
    </xf>
    <xf numFmtId="0" fontId="21" fillId="0" borderId="11" xfId="133" applyNumberFormat="1" applyFont="1" applyFill="1" applyBorder="1" applyAlignment="1">
      <alignment vertical="center"/>
      <protection/>
    </xf>
    <xf numFmtId="0" fontId="21" fillId="0" borderId="13" xfId="133" applyNumberFormat="1" applyFont="1" applyFill="1" applyBorder="1" applyAlignment="1">
      <alignment horizontal="center" vertical="center"/>
      <protection/>
    </xf>
    <xf numFmtId="0" fontId="21" fillId="0" borderId="13" xfId="133" applyNumberFormat="1" applyFont="1" applyFill="1" applyBorder="1" applyAlignment="1">
      <alignment horizontal="center" vertical="center" wrapText="1"/>
      <protection/>
    </xf>
    <xf numFmtId="0" fontId="21" fillId="0" borderId="14" xfId="133" applyNumberFormat="1" applyFont="1" applyFill="1" applyBorder="1" applyAlignment="1">
      <alignment horizontal="center" vertical="center"/>
      <protection/>
    </xf>
    <xf numFmtId="0" fontId="21" fillId="0" borderId="14" xfId="133" applyNumberFormat="1" applyFont="1" applyFill="1" applyBorder="1" applyAlignment="1">
      <alignment horizontal="center" vertical="center" wrapText="1"/>
      <protection/>
    </xf>
    <xf numFmtId="0" fontId="21" fillId="0" borderId="15" xfId="133" applyNumberFormat="1" applyFont="1" applyFill="1" applyBorder="1" applyAlignment="1">
      <alignment horizontal="center" vertical="center"/>
      <protection/>
    </xf>
    <xf numFmtId="0" fontId="21" fillId="0" borderId="16" xfId="133" applyNumberFormat="1" applyFont="1" applyFill="1" applyBorder="1" applyAlignment="1">
      <alignment horizontal="center" vertical="center" wrapText="1"/>
      <protection/>
    </xf>
    <xf numFmtId="0" fontId="21" fillId="0" borderId="19" xfId="133" applyNumberFormat="1" applyFont="1" applyFill="1" applyBorder="1" applyAlignment="1">
      <alignment horizontal="center" vertical="center" wrapText="1"/>
      <protection/>
    </xf>
    <xf numFmtId="0" fontId="21" fillId="0" borderId="20" xfId="133" applyNumberFormat="1" applyFont="1" applyFill="1" applyBorder="1" applyAlignment="1">
      <alignment horizontal="center" vertical="center" wrapText="1"/>
      <protection/>
    </xf>
    <xf numFmtId="0" fontId="21" fillId="0" borderId="0" xfId="128" applyNumberFormat="1" applyFont="1" applyFill="1" applyAlignment="1">
      <alignment horizontal="right" vertical="center" indent="1"/>
      <protection/>
    </xf>
    <xf numFmtId="0" fontId="21" fillId="0" borderId="0" xfId="128" applyNumberFormat="1" applyFont="1" applyFill="1" applyBorder="1" applyAlignment="1">
      <alignment horizontal="right" vertical="center" indent="1"/>
      <protection/>
    </xf>
    <xf numFmtId="0" fontId="24" fillId="0" borderId="0" xfId="0" applyNumberFormat="1" applyFont="1" applyFill="1" applyBorder="1" applyAlignment="1">
      <alignment vertical="center"/>
    </xf>
    <xf numFmtId="0" fontId="21" fillId="0" borderId="0" xfId="133" applyNumberFormat="1" applyFont="1" applyFill="1" applyAlignment="1">
      <alignment horizontal="right" vertical="center"/>
      <protection/>
    </xf>
    <xf numFmtId="0" fontId="30" fillId="0" borderId="0" xfId="128" applyNumberFormat="1" applyFont="1" applyFill="1">
      <alignment vertical="center"/>
      <protection/>
    </xf>
    <xf numFmtId="0" fontId="21" fillId="0" borderId="0" xfId="133" applyNumberFormat="1" applyFont="1" applyFill="1" applyBorder="1" applyAlignment="1">
      <alignment horizontal="right" vertical="center"/>
      <protection/>
    </xf>
    <xf numFmtId="0" fontId="21" fillId="0" borderId="0" xfId="130" applyNumberFormat="1" applyFont="1" applyAlignment="1">
      <alignment horizontal="left" vertical="center"/>
      <protection/>
    </xf>
    <xf numFmtId="0" fontId="21" fillId="0" borderId="11" xfId="130" applyNumberFormat="1" applyFont="1" applyBorder="1" applyAlignment="1">
      <alignment vertical="center" wrapText="1"/>
      <protection/>
    </xf>
    <xf numFmtId="0" fontId="21" fillId="0" borderId="0" xfId="131" applyNumberFormat="1" applyFont="1" applyBorder="1" applyAlignment="1" quotePrefix="1">
      <alignment horizontal="left" vertical="center"/>
      <protection/>
    </xf>
    <xf numFmtId="0" fontId="21" fillId="0" borderId="12" xfId="131" applyNumberFormat="1" applyFont="1" applyBorder="1" applyAlignment="1">
      <alignment horizontal="left" vertical="center"/>
      <protection/>
    </xf>
    <xf numFmtId="0" fontId="27" fillId="0" borderId="0" xfId="0" applyNumberFormat="1" applyFont="1" applyFill="1" applyBorder="1" applyAlignment="1">
      <alignment vertical="center"/>
    </xf>
    <xf numFmtId="0" fontId="21" fillId="0" borderId="0" xfId="131" applyNumberFormat="1" applyFont="1" applyBorder="1" applyAlignment="1" applyProtection="1">
      <alignment horizontal="left" vertical="center"/>
      <protection locked="0"/>
    </xf>
    <xf numFmtId="0" fontId="21" fillId="0" borderId="12" xfId="131" applyNumberFormat="1" applyFont="1" applyBorder="1" applyAlignment="1" applyProtection="1">
      <alignment horizontal="left" vertical="center"/>
      <protection locked="0"/>
    </xf>
    <xf numFmtId="0" fontId="21" fillId="0" borderId="11" xfId="131" applyNumberFormat="1" applyFont="1" applyBorder="1" applyAlignment="1" applyProtection="1">
      <alignment horizontal="left" vertical="center"/>
      <protection locked="0"/>
    </xf>
    <xf numFmtId="0" fontId="21" fillId="0" borderId="21" xfId="131" applyNumberFormat="1" applyFont="1" applyBorder="1" applyAlignment="1" applyProtection="1">
      <alignment horizontal="left" vertical="center"/>
      <protection locked="0"/>
    </xf>
    <xf numFmtId="0" fontId="2" fillId="0" borderId="0" xfId="132" applyNumberFormat="1" applyFont="1" applyAlignment="1">
      <alignment vertical="center"/>
      <protection/>
    </xf>
    <xf numFmtId="0" fontId="2" fillId="0" borderId="0" xfId="132" applyNumberFormat="1" applyFont="1" applyAlignment="1">
      <alignment horizontal="center" vertical="center"/>
      <protection/>
    </xf>
    <xf numFmtId="0" fontId="2" fillId="0" borderId="0" xfId="0" applyNumberFormat="1" applyFont="1" applyFill="1" applyAlignment="1">
      <alignment vertical="center"/>
    </xf>
    <xf numFmtId="0" fontId="2" fillId="0" borderId="0" xfId="0" applyNumberFormat="1" applyFont="1" applyAlignment="1">
      <alignment vertical="center"/>
    </xf>
    <xf numFmtId="0" fontId="2" fillId="0" borderId="0" xfId="132" applyNumberFormat="1" applyFont="1" applyFill="1" applyAlignment="1">
      <alignment vertical="center"/>
      <protection/>
    </xf>
    <xf numFmtId="0" fontId="21" fillId="0" borderId="0" xfId="132" applyNumberFormat="1" applyFont="1" applyAlignment="1">
      <alignment vertical="center"/>
      <protection/>
    </xf>
    <xf numFmtId="0" fontId="21" fillId="0" borderId="0" xfId="132" applyNumberFormat="1" applyFont="1" applyAlignment="1">
      <alignment horizontal="right" vertical="center"/>
      <protection/>
    </xf>
    <xf numFmtId="0" fontId="30" fillId="0" borderId="0" xfId="0" applyNumberFormat="1" applyFont="1" applyAlignment="1">
      <alignment vertical="center"/>
    </xf>
    <xf numFmtId="0" fontId="21" fillId="0" borderId="35" xfId="131" applyNumberFormat="1" applyFont="1" applyBorder="1" applyAlignment="1">
      <alignment horizontal="center" vertical="center"/>
      <protection/>
    </xf>
    <xf numFmtId="0" fontId="21" fillId="0" borderId="36" xfId="131" applyNumberFormat="1" applyFont="1" applyBorder="1" applyAlignment="1">
      <alignment horizontal="center" vertical="center"/>
      <protection/>
    </xf>
    <xf numFmtId="0" fontId="21" fillId="0" borderId="0" xfId="131" applyNumberFormat="1" applyFont="1" applyAlignment="1">
      <alignment vertical="center"/>
      <protection/>
    </xf>
    <xf numFmtId="0" fontId="21" fillId="0" borderId="26" xfId="131" applyNumberFormat="1" applyFont="1" applyBorder="1" applyAlignment="1">
      <alignment horizontal="center" vertical="center" wrapText="1"/>
      <protection/>
    </xf>
    <xf numFmtId="0" fontId="21" fillId="0" borderId="19" xfId="131" applyNumberFormat="1" applyFont="1" applyBorder="1" applyAlignment="1">
      <alignment horizontal="center" vertical="center" wrapText="1"/>
      <protection/>
    </xf>
    <xf numFmtId="0" fontId="21" fillId="0" borderId="20" xfId="131" applyNumberFormat="1" applyFont="1" applyBorder="1" applyAlignment="1">
      <alignment horizontal="center" vertical="center" wrapText="1"/>
      <protection/>
    </xf>
    <xf numFmtId="0" fontId="21" fillId="0" borderId="0" xfId="132" applyNumberFormat="1" applyFont="1" applyAlignment="1">
      <alignment horizontal="center" vertical="center"/>
      <protection/>
    </xf>
    <xf numFmtId="0" fontId="21" fillId="0" borderId="0" xfId="132" applyNumberFormat="1" applyFont="1" applyBorder="1" applyAlignment="1">
      <alignment horizontal="center" vertical="center"/>
      <protection/>
    </xf>
    <xf numFmtId="0" fontId="21" fillId="0" borderId="0" xfId="132" applyNumberFormat="1" applyFont="1" applyBorder="1" applyAlignment="1">
      <alignment horizontal="center" vertical="center" wrapText="1"/>
      <protection/>
    </xf>
    <xf numFmtId="0" fontId="21" fillId="0" borderId="21" xfId="132" applyNumberFormat="1" applyFont="1" applyBorder="1" applyAlignment="1">
      <alignment horizontal="center" vertical="center" wrapText="1"/>
      <protection/>
    </xf>
    <xf numFmtId="0" fontId="21" fillId="0" borderId="12" xfId="132" applyNumberFormat="1" applyFont="1" applyBorder="1" applyAlignment="1">
      <alignment horizontal="center" vertical="center" wrapText="1"/>
      <protection/>
    </xf>
    <xf numFmtId="0" fontId="21" fillId="0" borderId="0" xfId="0" applyNumberFormat="1" applyFont="1" applyAlignment="1">
      <alignment vertical="center"/>
    </xf>
    <xf numFmtId="0" fontId="21" fillId="0" borderId="0" xfId="132" applyNumberFormat="1" applyFont="1" applyBorder="1" applyAlignment="1">
      <alignment vertical="center"/>
      <protection/>
    </xf>
    <xf numFmtId="0" fontId="21" fillId="0" borderId="34" xfId="132" applyNumberFormat="1" applyFont="1" applyBorder="1" applyAlignment="1">
      <alignment horizontal="center" vertical="center"/>
      <protection/>
    </xf>
    <xf numFmtId="0" fontId="21" fillId="0" borderId="29" xfId="132" applyNumberFormat="1" applyFont="1" applyBorder="1" applyAlignment="1">
      <alignment horizontal="center" vertical="center"/>
      <protection/>
    </xf>
    <xf numFmtId="0" fontId="21" fillId="0" borderId="26" xfId="132" applyNumberFormat="1" applyFont="1" applyBorder="1" applyAlignment="1">
      <alignment horizontal="center" vertical="center" wrapText="1"/>
      <protection/>
    </xf>
    <xf numFmtId="0" fontId="21" fillId="0" borderId="16" xfId="132" applyNumberFormat="1" applyFont="1" applyBorder="1" applyAlignment="1">
      <alignment horizontal="center" vertical="center" wrapText="1"/>
      <protection/>
    </xf>
    <xf numFmtId="0" fontId="21" fillId="0" borderId="19"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0" xfId="132" applyNumberFormat="1" applyFont="1" applyFill="1" applyAlignment="1">
      <alignment horizontal="center" vertical="center"/>
      <protection/>
    </xf>
    <xf numFmtId="0" fontId="21" fillId="0" borderId="11" xfId="129" applyNumberFormat="1" applyFont="1" applyFill="1" applyBorder="1" applyAlignment="1">
      <alignment vertical="center"/>
      <protection/>
    </xf>
    <xf numFmtId="0" fontId="21" fillId="0" borderId="0" xfId="129" applyNumberFormat="1" applyFont="1" applyAlignment="1">
      <alignment/>
      <protection/>
    </xf>
    <xf numFmtId="41" fontId="21" fillId="0" borderId="0" xfId="129" applyNumberFormat="1" applyFont="1" applyFill="1" applyAlignment="1">
      <alignment horizontal="right" vertical="center"/>
      <protection/>
    </xf>
    <xf numFmtId="41" fontId="21" fillId="0" borderId="0" xfId="134" applyNumberFormat="1" applyFont="1" applyFill="1" applyBorder="1" applyAlignment="1">
      <alignment vertical="center"/>
      <protection/>
    </xf>
    <xf numFmtId="180" fontId="21" fillId="0" borderId="17" xfId="129" applyNumberFormat="1" applyFont="1" applyFill="1" applyBorder="1" applyAlignment="1">
      <alignment horizontal="right" vertical="center"/>
      <protection/>
    </xf>
    <xf numFmtId="180" fontId="21" fillId="0" borderId="0" xfId="129" applyNumberFormat="1" applyFont="1" applyFill="1" applyBorder="1" applyAlignment="1">
      <alignment horizontal="right" vertical="center"/>
      <protection/>
    </xf>
    <xf numFmtId="41" fontId="21" fillId="0" borderId="0" xfId="129" applyNumberFormat="1" applyFont="1" applyBorder="1" applyAlignment="1">
      <alignment horizontal="right" vertical="center" wrapText="1"/>
      <protection/>
    </xf>
    <xf numFmtId="41" fontId="21" fillId="0" borderId="0" xfId="129" applyNumberFormat="1" applyFont="1" applyBorder="1" applyAlignment="1">
      <alignment horizontal="right" vertical="center" wrapText="1"/>
      <protection/>
    </xf>
    <xf numFmtId="41" fontId="21" fillId="0" borderId="0" xfId="129" applyNumberFormat="1" applyFont="1" applyFill="1" applyBorder="1" applyAlignment="1">
      <alignment horizontal="right" vertical="center" wrapText="1"/>
      <protection/>
    </xf>
    <xf numFmtId="41" fontId="21" fillId="0" borderId="0" xfId="129" applyNumberFormat="1" applyFont="1" applyFill="1" applyBorder="1" applyAlignment="1">
      <alignment horizontal="right" vertical="center" wrapText="1"/>
      <protection/>
    </xf>
    <xf numFmtId="41" fontId="21" fillId="0" borderId="11" xfId="129" applyNumberFormat="1" applyFont="1" applyFill="1" applyBorder="1" applyAlignment="1">
      <alignment horizontal="right" vertical="center" wrapText="1"/>
      <protection/>
    </xf>
    <xf numFmtId="2" fontId="21" fillId="0" borderId="0" xfId="129" applyNumberFormat="1" applyFont="1" applyAlignment="1">
      <alignment horizontal="center" vertical="center"/>
      <protection/>
    </xf>
    <xf numFmtId="3" fontId="21" fillId="0" borderId="0" xfId="132" applyNumberFormat="1" applyFont="1" applyFill="1" applyBorder="1" applyAlignment="1">
      <alignment vertical="center"/>
      <protection/>
    </xf>
    <xf numFmtId="41" fontId="21" fillId="0" borderId="20" xfId="134" applyNumberFormat="1" applyFont="1" applyFill="1" applyBorder="1" applyAlignment="1">
      <alignment horizontal="right" vertical="center"/>
      <protection/>
    </xf>
    <xf numFmtId="207" fontId="21" fillId="0" borderId="0" xfId="129" applyNumberFormat="1" applyFont="1" applyFill="1" applyBorder="1" applyAlignment="1">
      <alignment horizontal="right" vertical="center"/>
      <protection/>
    </xf>
    <xf numFmtId="207" fontId="21" fillId="0" borderId="0" xfId="135" applyNumberFormat="1" applyFont="1" applyFill="1" applyBorder="1" applyAlignment="1">
      <alignment horizontal="right" vertical="center"/>
      <protection/>
    </xf>
    <xf numFmtId="207" fontId="21" fillId="0" borderId="11" xfId="129" applyNumberFormat="1" applyFont="1" applyFill="1" applyBorder="1" applyAlignment="1">
      <alignment horizontal="right" vertical="center"/>
      <protection/>
    </xf>
    <xf numFmtId="207" fontId="21" fillId="0" borderId="11" xfId="135" applyNumberFormat="1" applyFont="1" applyFill="1" applyBorder="1" applyAlignment="1">
      <alignment horizontal="right" vertical="center"/>
      <protection/>
    </xf>
    <xf numFmtId="0" fontId="39" fillId="0" borderId="0" xfId="129" applyNumberFormat="1" applyFont="1" applyFill="1" applyAlignment="1">
      <alignment horizontal="left" vertical="center"/>
      <protection/>
    </xf>
    <xf numFmtId="177" fontId="21" fillId="0" borderId="0" xfId="0" applyNumberFormat="1" applyFont="1" applyBorder="1" applyAlignment="1">
      <alignment horizontal="right" vertical="center"/>
    </xf>
    <xf numFmtId="177" fontId="21" fillId="0" borderId="11" xfId="0" applyNumberFormat="1" applyFont="1" applyBorder="1" applyAlignment="1">
      <alignment horizontal="right" vertical="center"/>
    </xf>
    <xf numFmtId="0" fontId="21" fillId="0" borderId="21" xfId="129" applyNumberFormat="1" applyFont="1" applyFill="1" applyBorder="1" applyAlignment="1">
      <alignment horizontal="center" vertical="center" wrapText="1"/>
      <protection/>
    </xf>
    <xf numFmtId="0" fontId="24" fillId="0" borderId="21" xfId="129" applyNumberFormat="1" applyFont="1" applyBorder="1" applyAlignment="1">
      <alignment horizontal="center" vertical="center" wrapText="1"/>
      <protection/>
    </xf>
    <xf numFmtId="181" fontId="21" fillId="0" borderId="0" xfId="129" applyNumberFormat="1" applyFont="1" applyBorder="1" applyAlignment="1">
      <alignment horizontal="right" vertical="center"/>
      <protection/>
    </xf>
    <xf numFmtId="0" fontId="122" fillId="0" borderId="0" xfId="129" applyFont="1" applyAlignment="1">
      <alignment horizontal="center" vertical="center"/>
      <protection/>
    </xf>
    <xf numFmtId="181" fontId="21" fillId="0" borderId="0" xfId="129" applyNumberFormat="1" applyFont="1" applyFill="1" applyBorder="1" applyAlignment="1">
      <alignment vertical="center"/>
      <protection/>
    </xf>
    <xf numFmtId="3" fontId="21" fillId="0" borderId="18" xfId="0" applyNumberFormat="1" applyFont="1" applyFill="1" applyBorder="1" applyAlignment="1">
      <alignment horizontal="right" vertical="center"/>
    </xf>
    <xf numFmtId="181" fontId="21" fillId="0" borderId="11" xfId="129" applyNumberFormat="1" applyFont="1" applyFill="1" applyBorder="1" applyAlignment="1">
      <alignment vertical="center"/>
      <protection/>
    </xf>
    <xf numFmtId="0" fontId="21" fillId="0" borderId="11" xfId="129" applyFont="1" applyFill="1" applyBorder="1" applyAlignment="1">
      <alignment horizontal="center" vertical="center"/>
      <protection/>
    </xf>
    <xf numFmtId="177" fontId="21" fillId="0" borderId="0" xfId="129" applyNumberFormat="1" applyFont="1" applyFill="1" applyBorder="1" applyAlignment="1">
      <alignment horizontal="right"/>
      <protection/>
    </xf>
    <xf numFmtId="3" fontId="21" fillId="0" borderId="11" xfId="132" applyNumberFormat="1" applyFont="1" applyFill="1" applyBorder="1" applyAlignment="1">
      <alignment vertical="center"/>
      <protection/>
    </xf>
    <xf numFmtId="3" fontId="21" fillId="0" borderId="11" xfId="132" applyNumberFormat="1" applyFont="1" applyFill="1" applyBorder="1" applyAlignment="1">
      <alignment horizontal="right" vertical="center"/>
      <protection/>
    </xf>
    <xf numFmtId="176" fontId="21" fillId="0" borderId="0" xfId="129" applyNumberFormat="1" applyFont="1" applyFill="1" applyBorder="1" applyAlignment="1">
      <alignment horizontal="center" vertical="center"/>
      <protection/>
    </xf>
    <xf numFmtId="176" fontId="21" fillId="0" borderId="0" xfId="129" applyNumberFormat="1" applyFont="1" applyAlignment="1">
      <alignment horizontal="center" vertical="center"/>
      <protection/>
    </xf>
    <xf numFmtId="0" fontId="21" fillId="0" borderId="21" xfId="129" applyNumberFormat="1" applyFont="1" applyFill="1" applyBorder="1" applyAlignment="1">
      <alignment horizontal="center" vertical="center" wrapText="1"/>
      <protection/>
    </xf>
    <xf numFmtId="3" fontId="21" fillId="0" borderId="22" xfId="145" applyNumberFormat="1" applyFont="1" applyFill="1" applyBorder="1" applyAlignment="1" applyProtection="1">
      <alignment horizontal="right" vertical="center"/>
      <protection/>
    </xf>
    <xf numFmtId="0" fontId="21" fillId="0" borderId="15" xfId="129" applyNumberFormat="1" applyFont="1" applyFill="1" applyBorder="1" applyAlignment="1">
      <alignment horizontal="center" vertical="center" wrapText="1"/>
      <protection/>
    </xf>
    <xf numFmtId="0" fontId="21" fillId="0" borderId="12" xfId="129" applyNumberFormat="1" applyFont="1" applyFill="1" applyBorder="1" applyAlignment="1">
      <alignment horizontal="center" vertical="center"/>
      <protection/>
    </xf>
    <xf numFmtId="0" fontId="30" fillId="0" borderId="0" xfId="129" applyNumberFormat="1" applyFont="1" applyFill="1" applyAlignment="1">
      <alignment horizontal="center" vertical="center"/>
      <protection/>
    </xf>
    <xf numFmtId="0" fontId="21" fillId="0" borderId="13" xfId="145" applyNumberFormat="1" applyFont="1" applyFill="1" applyBorder="1" applyAlignment="1" applyProtection="1">
      <alignment horizontal="center" vertical="center" wrapText="1"/>
      <protection/>
    </xf>
    <xf numFmtId="0" fontId="21" fillId="0" borderId="14" xfId="145" applyNumberFormat="1" applyFont="1" applyFill="1" applyBorder="1" applyAlignment="1" applyProtection="1">
      <alignment horizontal="center" vertical="center" wrapText="1"/>
      <protection/>
    </xf>
    <xf numFmtId="0" fontId="21" fillId="0" borderId="15" xfId="145" applyNumberFormat="1" applyFont="1" applyFill="1" applyBorder="1" applyAlignment="1" applyProtection="1">
      <alignment horizontal="center" vertical="center" wrapText="1"/>
      <protection/>
    </xf>
    <xf numFmtId="0" fontId="21" fillId="0" borderId="16" xfId="145" applyNumberFormat="1" applyFont="1" applyFill="1" applyBorder="1" applyAlignment="1" applyProtection="1">
      <alignment horizontal="center" vertical="center" wrapText="1"/>
      <protection/>
    </xf>
    <xf numFmtId="0" fontId="21" fillId="0" borderId="19" xfId="145" applyNumberFormat="1" applyFont="1" applyFill="1" applyBorder="1" applyAlignment="1" applyProtection="1">
      <alignment horizontal="center" vertical="center" wrapText="1"/>
      <protection/>
    </xf>
    <xf numFmtId="0" fontId="21" fillId="0" borderId="20" xfId="145" applyNumberFormat="1" applyFont="1" applyFill="1" applyBorder="1" applyAlignment="1" applyProtection="1">
      <alignment horizontal="center" vertical="center" wrapText="1"/>
      <protection/>
    </xf>
    <xf numFmtId="0" fontId="21" fillId="0" borderId="25" xfId="129" applyNumberFormat="1" applyFont="1" applyFill="1" applyBorder="1" applyAlignment="1">
      <alignment horizontal="center" vertical="center" wrapText="1"/>
      <protection/>
    </xf>
    <xf numFmtId="0" fontId="21" fillId="0" borderId="26" xfId="129" applyNumberFormat="1" applyFont="1" applyFill="1" applyBorder="1" applyAlignment="1">
      <alignment horizontal="center" vertical="center" wrapText="1"/>
      <protection/>
    </xf>
    <xf numFmtId="0" fontId="21" fillId="0" borderId="19" xfId="129" applyNumberFormat="1" applyFont="1" applyFill="1" applyBorder="1" applyAlignment="1">
      <alignment horizontal="center" vertical="center"/>
      <protection/>
    </xf>
    <xf numFmtId="207" fontId="21" fillId="0" borderId="17" xfId="129" applyNumberFormat="1" applyFont="1" applyFill="1" applyBorder="1" applyAlignment="1">
      <alignment horizontal="right" vertical="center"/>
      <protection/>
    </xf>
    <xf numFmtId="207" fontId="21" fillId="0" borderId="0" xfId="0" applyNumberFormat="1" applyFont="1" applyFill="1" applyBorder="1" applyAlignment="1">
      <alignment horizontal="right" vertical="center"/>
    </xf>
    <xf numFmtId="0" fontId="21" fillId="0" borderId="0" xfId="129" applyNumberFormat="1" applyFont="1" applyFill="1" applyBorder="1" applyAlignment="1">
      <alignment horizontal="left" vertical="center" wrapText="1"/>
      <protection/>
    </xf>
    <xf numFmtId="0" fontId="21" fillId="0" borderId="12" xfId="129" applyNumberFormat="1" applyFont="1" applyFill="1" applyBorder="1" applyAlignment="1">
      <alignment vertical="center"/>
      <protection/>
    </xf>
    <xf numFmtId="207" fontId="21" fillId="0" borderId="17" xfId="135" applyNumberFormat="1" applyFont="1" applyFill="1" applyBorder="1" applyAlignment="1">
      <alignment horizontal="right" vertical="center"/>
      <protection/>
    </xf>
    <xf numFmtId="207" fontId="21" fillId="0" borderId="0" xfId="129" applyNumberFormat="1" applyFont="1" applyFill="1" applyAlignment="1">
      <alignment horizontal="center" vertical="center"/>
      <protection/>
    </xf>
    <xf numFmtId="0" fontId="21" fillId="0" borderId="11" xfId="129" applyNumberFormat="1" applyFont="1" applyFill="1" applyBorder="1" applyAlignment="1">
      <alignment horizontal="left" vertical="center"/>
      <protection/>
    </xf>
    <xf numFmtId="0" fontId="21" fillId="0" borderId="21" xfId="129" applyNumberFormat="1" applyFont="1" applyFill="1" applyBorder="1" applyAlignment="1">
      <alignment horizontal="left" vertical="center"/>
      <protection/>
    </xf>
    <xf numFmtId="207" fontId="21" fillId="0" borderId="18" xfId="129" applyNumberFormat="1" applyFont="1" applyFill="1" applyBorder="1" applyAlignment="1">
      <alignment horizontal="right" vertical="center"/>
      <protection/>
    </xf>
    <xf numFmtId="200" fontId="21" fillId="0" borderId="0" xfId="0" applyNumberFormat="1" applyFont="1" applyFill="1" applyBorder="1" applyAlignment="1">
      <alignment horizontal="right" vertical="center"/>
    </xf>
    <xf numFmtId="0" fontId="21" fillId="0" borderId="0" xfId="129" applyNumberFormat="1" applyFont="1" applyFill="1" applyBorder="1" applyAlignment="1">
      <alignment horizontal="right" vertical="center"/>
      <protection/>
    </xf>
    <xf numFmtId="3" fontId="21" fillId="0" borderId="0" xfId="129" applyNumberFormat="1" applyFont="1" applyFill="1" applyBorder="1" applyAlignment="1">
      <alignment horizontal="right" vertical="center" wrapText="1"/>
      <protection/>
    </xf>
    <xf numFmtId="176" fontId="21" fillId="0" borderId="0" xfId="129" applyNumberFormat="1" applyFont="1" applyFill="1" applyBorder="1" applyAlignment="1">
      <alignment horizontal="right" vertical="center" wrapText="1"/>
      <protection/>
    </xf>
    <xf numFmtId="3" fontId="21" fillId="0" borderId="11" xfId="129" applyNumberFormat="1" applyFont="1" applyFill="1" applyBorder="1" applyAlignment="1">
      <alignment horizontal="right" vertical="center" wrapText="1"/>
      <protection/>
    </xf>
    <xf numFmtId="176" fontId="21" fillId="0" borderId="11" xfId="129" applyNumberFormat="1" applyFont="1" applyFill="1" applyBorder="1" applyAlignment="1">
      <alignment horizontal="right" vertical="center" wrapText="1"/>
      <protection/>
    </xf>
    <xf numFmtId="0" fontId="21" fillId="0" borderId="0" xfId="145" applyNumberFormat="1" applyFont="1" applyFill="1" applyBorder="1" applyAlignment="1" applyProtection="1">
      <alignment vertical="center"/>
      <protection/>
    </xf>
    <xf numFmtId="0" fontId="21" fillId="0" borderId="0" xfId="145" applyNumberFormat="1" applyFont="1" applyFill="1" applyBorder="1" applyAlignment="1" applyProtection="1">
      <alignment horizontal="center" vertical="center" wrapText="1"/>
      <protection/>
    </xf>
    <xf numFmtId="0" fontId="2" fillId="0" borderId="19" xfId="127" applyNumberFormat="1" applyFont="1" applyFill="1" applyBorder="1" applyAlignment="1">
      <alignment horizontal="center" vertical="center" wrapText="1"/>
      <protection/>
    </xf>
    <xf numFmtId="0" fontId="2" fillId="0" borderId="16" xfId="127" applyNumberFormat="1" applyFont="1" applyFill="1" applyBorder="1" applyAlignment="1">
      <alignment horizontal="center" vertical="center" wrapText="1"/>
      <protection/>
    </xf>
    <xf numFmtId="0" fontId="2" fillId="0" borderId="13" xfId="127" applyNumberFormat="1" applyFont="1" applyFill="1" applyBorder="1" applyAlignment="1">
      <alignment horizontal="center" vertical="center" wrapText="1"/>
      <protection/>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127" applyNumberFormat="1" applyFont="1" applyFill="1">
      <alignment/>
      <protection/>
    </xf>
    <xf numFmtId="0" fontId="21" fillId="0" borderId="0" xfId="127" applyFont="1" applyFill="1">
      <alignment/>
      <protection/>
    </xf>
    <xf numFmtId="0" fontId="21" fillId="0" borderId="0" xfId="127" applyFont="1" applyFill="1" applyBorder="1">
      <alignment/>
      <protection/>
    </xf>
    <xf numFmtId="43" fontId="21" fillId="0" borderId="11" xfId="129" applyNumberFormat="1" applyFont="1" applyFill="1" applyBorder="1" applyAlignment="1">
      <alignment horizontal="right"/>
      <protection/>
    </xf>
    <xf numFmtId="0" fontId="21" fillId="0" borderId="26"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1" fillId="0" borderId="12" xfId="129" applyNumberFormat="1" applyFont="1" applyFill="1" applyBorder="1" applyAlignment="1">
      <alignment horizontal="left" vertical="center" wrapText="1"/>
      <protection/>
    </xf>
    <xf numFmtId="177" fontId="21" fillId="0" borderId="0" xfId="129" applyNumberFormat="1" applyFont="1" applyFill="1" applyAlignment="1">
      <alignment horizontal="center" vertical="center"/>
      <protection/>
    </xf>
    <xf numFmtId="0" fontId="21" fillId="0" borderId="12" xfId="129" applyNumberFormat="1" applyFont="1" applyFill="1" applyBorder="1" applyAlignment="1">
      <alignment horizontal="left" wrapText="1"/>
      <protection/>
    </xf>
    <xf numFmtId="0" fontId="21" fillId="0" borderId="21" xfId="129" applyNumberFormat="1" applyFont="1" applyFill="1" applyBorder="1" applyAlignment="1">
      <alignment horizontal="left" vertical="center" wrapText="1"/>
      <protection/>
    </xf>
    <xf numFmtId="43" fontId="21" fillId="0" borderId="11" xfId="129" applyNumberFormat="1" applyFont="1" applyFill="1" applyBorder="1" applyAlignment="1">
      <alignment horizontal="right" vertical="center"/>
      <protection/>
    </xf>
    <xf numFmtId="0" fontId="21" fillId="0" borderId="11" xfId="129" applyNumberFormat="1" applyFont="1" applyFill="1" applyBorder="1" applyAlignment="1">
      <alignment horizontal="right" vertical="center"/>
      <protection/>
    </xf>
    <xf numFmtId="0" fontId="21" fillId="0" borderId="0" xfId="129" applyFont="1" applyFill="1" applyAlignment="1">
      <alignment horizontal="center" vertical="center" wrapText="1"/>
      <protection/>
    </xf>
    <xf numFmtId="183" fontId="21" fillId="0" borderId="0" xfId="129" applyNumberFormat="1" applyFont="1" applyFill="1" applyBorder="1" applyAlignment="1">
      <alignment horizontal="right" vertical="center"/>
      <protection/>
    </xf>
    <xf numFmtId="0" fontId="21" fillId="0" borderId="11" xfId="129" applyFont="1" applyFill="1" applyBorder="1" applyAlignment="1">
      <alignment horizontal="left" vertical="center"/>
      <protection/>
    </xf>
    <xf numFmtId="0" fontId="21" fillId="0" borderId="18" xfId="129" applyNumberFormat="1" applyFont="1" applyFill="1" applyBorder="1" applyAlignment="1">
      <alignment horizontal="right" vertical="center"/>
      <protection/>
    </xf>
    <xf numFmtId="0" fontId="21" fillId="0" borderId="11" xfId="0" applyNumberFormat="1" applyFont="1" applyFill="1" applyBorder="1" applyAlignment="1">
      <alignment vertical="center"/>
    </xf>
    <xf numFmtId="0" fontId="21" fillId="0" borderId="37" xfId="129" applyNumberFormat="1" applyFont="1" applyFill="1" applyBorder="1" applyAlignment="1">
      <alignment vertical="center"/>
      <protection/>
    </xf>
    <xf numFmtId="41" fontId="21" fillId="0" borderId="0" xfId="129" applyNumberFormat="1" applyFont="1" applyFill="1" applyAlignment="1">
      <alignment horizontal="center" vertical="center"/>
      <protection/>
    </xf>
    <xf numFmtId="41" fontId="21" fillId="0" borderId="0" xfId="129" applyNumberFormat="1" applyFont="1" applyFill="1" applyBorder="1" applyAlignment="1">
      <alignment horizontal="center" vertical="center"/>
      <protection/>
    </xf>
    <xf numFmtId="41" fontId="21" fillId="0" borderId="0" xfId="129" applyNumberFormat="1" applyFont="1" applyFill="1" applyBorder="1" applyAlignment="1">
      <alignment horizontal="center" vertical="top"/>
      <protection/>
    </xf>
    <xf numFmtId="41" fontId="21" fillId="0" borderId="0" xfId="129" applyNumberFormat="1" applyFont="1" applyFill="1" applyAlignment="1">
      <alignment horizontal="center" vertical="center" wrapText="1"/>
      <protection/>
    </xf>
    <xf numFmtId="41" fontId="21" fillId="0" borderId="0" xfId="129" applyNumberFormat="1" applyFont="1" applyFill="1" applyAlignment="1">
      <alignment horizontal="center" vertical="top"/>
      <protection/>
    </xf>
    <xf numFmtId="0" fontId="21" fillId="0" borderId="0" xfId="129" applyNumberFormat="1" applyFont="1" applyFill="1" applyBorder="1" applyAlignment="1">
      <alignment horizontal="center" vertical="center" wrapText="1"/>
      <protection/>
    </xf>
    <xf numFmtId="0" fontId="38" fillId="0" borderId="0" xfId="129" applyNumberFormat="1" applyFont="1" applyFill="1" applyAlignment="1">
      <alignment horizontal="center" vertical="center"/>
      <protection/>
    </xf>
    <xf numFmtId="0" fontId="123" fillId="0" borderId="0" xfId="129" applyFont="1" applyFill="1" applyAlignment="1">
      <alignment horizontal="center" vertical="center"/>
      <protection/>
    </xf>
    <xf numFmtId="0" fontId="21" fillId="0" borderId="0" xfId="129" applyNumberFormat="1" applyFont="1" applyFill="1" applyBorder="1" applyAlignment="1">
      <alignment horizontal="left" vertical="center" wrapText="1"/>
      <protection/>
    </xf>
    <xf numFmtId="41" fontId="21" fillId="0" borderId="18" xfId="129" applyNumberFormat="1" applyFont="1" applyFill="1" applyBorder="1" applyAlignment="1">
      <alignment horizontal="right" vertical="center"/>
      <protection/>
    </xf>
    <xf numFmtId="180" fontId="21" fillId="0" borderId="11" xfId="129" applyNumberFormat="1" applyFont="1" applyFill="1" applyBorder="1" applyAlignment="1">
      <alignment horizontal="right" vertical="center"/>
      <protection/>
    </xf>
    <xf numFmtId="176" fontId="124" fillId="0" borderId="18" xfId="129" applyNumberFormat="1" applyFont="1" applyBorder="1" applyAlignment="1">
      <alignment vertical="center"/>
      <protection/>
    </xf>
    <xf numFmtId="176" fontId="124" fillId="0" borderId="11" xfId="129" applyNumberFormat="1" applyFont="1" applyFill="1" applyBorder="1" applyAlignment="1">
      <alignment vertical="center"/>
      <protection/>
    </xf>
    <xf numFmtId="176" fontId="124" fillId="0" borderId="11" xfId="129" applyNumberFormat="1" applyFont="1" applyBorder="1" applyAlignment="1">
      <alignment vertical="center"/>
      <protection/>
    </xf>
    <xf numFmtId="181" fontId="21" fillId="0" borderId="11" xfId="129" applyNumberFormat="1" applyFont="1" applyFill="1" applyBorder="1" applyAlignment="1">
      <alignment horizontal="right" vertical="center"/>
      <protection/>
    </xf>
    <xf numFmtId="177" fontId="21" fillId="0" borderId="11" xfId="129" applyNumberFormat="1" applyFont="1" applyFill="1" applyBorder="1" applyAlignment="1">
      <alignment horizontal="right" vertical="center"/>
      <protection/>
    </xf>
    <xf numFmtId="3" fontId="21" fillId="0" borderId="18" xfId="132" applyNumberFormat="1" applyFont="1" applyBorder="1" applyAlignment="1">
      <alignment horizontal="right" vertical="center"/>
      <protection/>
    </xf>
    <xf numFmtId="41" fontId="21" fillId="0" borderId="0" xfId="0" applyNumberFormat="1" applyFont="1" applyBorder="1" applyAlignment="1">
      <alignment horizontal="right" vertical="center"/>
    </xf>
    <xf numFmtId="41" fontId="21" fillId="0" borderId="0" xfId="0" applyNumberFormat="1" applyFont="1" applyAlignment="1">
      <alignment horizontal="right" vertical="center"/>
    </xf>
    <xf numFmtId="41" fontId="21" fillId="0" borderId="0" xfId="145" applyNumberFormat="1" applyFont="1" applyBorder="1" applyAlignment="1" applyProtection="1">
      <alignment horizontal="right" vertical="center"/>
      <protection/>
    </xf>
    <xf numFmtId="41" fontId="21" fillId="0" borderId="0" xfId="145" applyNumberFormat="1" applyFont="1" applyFill="1" applyBorder="1" applyAlignment="1" applyProtection="1">
      <alignment horizontal="right" vertical="center"/>
      <protection/>
    </xf>
    <xf numFmtId="41" fontId="21" fillId="0" borderId="11" xfId="0" applyNumberFormat="1" applyFont="1" applyBorder="1" applyAlignment="1">
      <alignment horizontal="right" vertical="center"/>
    </xf>
    <xf numFmtId="41" fontId="21" fillId="0" borderId="11" xfId="145" applyNumberFormat="1" applyFont="1" applyFill="1" applyBorder="1" applyAlignment="1" applyProtection="1">
      <alignment horizontal="right" vertical="center"/>
      <protection/>
    </xf>
    <xf numFmtId="41" fontId="21" fillId="0" borderId="18" xfId="0" applyNumberFormat="1" applyFont="1" applyBorder="1" applyAlignment="1">
      <alignment horizontal="right" vertical="center"/>
    </xf>
    <xf numFmtId="0" fontId="21" fillId="0" borderId="32" xfId="129" applyNumberFormat="1" applyFont="1" applyFill="1" applyBorder="1" applyAlignment="1">
      <alignment horizontal="left" vertical="center" wrapText="1"/>
      <protection/>
    </xf>
    <xf numFmtId="212" fontId="21" fillId="0" borderId="0" xfId="129" applyNumberFormat="1" applyFont="1" applyFill="1" applyAlignment="1">
      <alignment horizontal="center" vertical="center"/>
      <protection/>
    </xf>
    <xf numFmtId="212" fontId="21" fillId="0" borderId="0" xfId="129" applyNumberFormat="1" applyFont="1" applyFill="1" applyBorder="1" applyAlignment="1">
      <alignment horizontal="center" vertical="center"/>
      <protection/>
    </xf>
    <xf numFmtId="0" fontId="125" fillId="0" borderId="0" xfId="129" applyNumberFormat="1" applyFont="1" applyFill="1" applyBorder="1" applyAlignment="1">
      <alignment vertical="center"/>
      <protection/>
    </xf>
    <xf numFmtId="212" fontId="21" fillId="0" borderId="0" xfId="129" applyNumberFormat="1" applyFont="1" applyFill="1" applyBorder="1" applyAlignment="1">
      <alignment horizontal="right"/>
      <protection/>
    </xf>
    <xf numFmtId="212" fontId="21" fillId="0" borderId="0" xfId="129" applyNumberFormat="1" applyFont="1" applyFill="1" applyBorder="1" applyAlignment="1">
      <alignment horizontal="right" vertical="top"/>
      <protection/>
    </xf>
    <xf numFmtId="212" fontId="21" fillId="0" borderId="0" xfId="0" applyNumberFormat="1" applyFont="1" applyFill="1" applyBorder="1" applyAlignment="1">
      <alignment horizontal="center"/>
    </xf>
    <xf numFmtId="212" fontId="21" fillId="0" borderId="0" xfId="129" applyNumberFormat="1" applyFont="1" applyFill="1" applyBorder="1" applyAlignment="1">
      <alignment horizontal="center" wrapText="1"/>
      <protection/>
    </xf>
    <xf numFmtId="212" fontId="21" fillId="0" borderId="0" xfId="0" applyNumberFormat="1" applyFont="1" applyFill="1" applyBorder="1" applyAlignment="1">
      <alignment horizontal="center" wrapText="1"/>
    </xf>
    <xf numFmtId="212" fontId="21" fillId="0" borderId="0" xfId="129" applyNumberFormat="1" applyFont="1" applyFill="1" applyBorder="1" applyAlignment="1">
      <alignment horizontal="right" vertical="center"/>
      <protection/>
    </xf>
    <xf numFmtId="212" fontId="21" fillId="0" borderId="17" xfId="129" applyNumberFormat="1" applyFont="1" applyFill="1" applyBorder="1" applyAlignment="1">
      <alignment horizontal="right" vertical="center"/>
      <protection/>
    </xf>
    <xf numFmtId="212" fontId="21" fillId="0" borderId="0" xfId="129" applyNumberFormat="1" applyFont="1" applyFill="1" applyBorder="1" applyAlignment="1">
      <alignment horizontal="center"/>
      <protection/>
    </xf>
    <xf numFmtId="212" fontId="21" fillId="0" borderId="0" xfId="129" applyNumberFormat="1" applyFont="1" applyFill="1" applyBorder="1" applyAlignment="1">
      <alignment vertical="center"/>
      <protection/>
    </xf>
    <xf numFmtId="212" fontId="21" fillId="0" borderId="0" xfId="129" applyNumberFormat="1" applyFont="1" applyFill="1" applyAlignment="1">
      <alignment horizontal="right"/>
      <protection/>
    </xf>
    <xf numFmtId="212" fontId="21" fillId="0" borderId="0" xfId="129" applyNumberFormat="1" applyFont="1" applyFill="1" applyAlignment="1">
      <alignment horizontal="right" vertical="center"/>
      <protection/>
    </xf>
    <xf numFmtId="212" fontId="21" fillId="0" borderId="0" xfId="129" applyNumberFormat="1" applyFont="1" applyFill="1" applyBorder="1" applyAlignment="1">
      <alignment/>
      <protection/>
    </xf>
    <xf numFmtId="0" fontId="2" fillId="0" borderId="38" xfId="129" applyNumberFormat="1" applyFont="1" applyFill="1" applyBorder="1" applyAlignment="1">
      <alignment horizontal="center" vertical="center" wrapText="1"/>
      <protection/>
    </xf>
    <xf numFmtId="0" fontId="2" fillId="0" borderId="14" xfId="127" applyNumberFormat="1" applyFont="1" applyFill="1" applyBorder="1" applyAlignment="1">
      <alignment horizontal="center" vertical="center" wrapText="1"/>
      <protection/>
    </xf>
    <xf numFmtId="0" fontId="21" fillId="0" borderId="0" xfId="132" applyNumberFormat="1" applyFont="1" applyFill="1" applyAlignment="1">
      <alignment vertical="center"/>
      <protection/>
    </xf>
    <xf numFmtId="0" fontId="32" fillId="0" borderId="13" xfId="129" applyNumberFormat="1" applyFont="1" applyFill="1" applyBorder="1" applyAlignment="1">
      <alignment horizontal="center" vertical="center" wrapText="1"/>
      <protection/>
    </xf>
    <xf numFmtId="0" fontId="126" fillId="0" borderId="0" xfId="129" applyFont="1" applyAlignment="1">
      <alignment horizontal="center" vertical="center"/>
      <protection/>
    </xf>
    <xf numFmtId="0" fontId="21" fillId="0" borderId="39" xfId="129" applyNumberFormat="1" applyFont="1" applyBorder="1" applyAlignment="1">
      <alignment horizontal="center" vertical="center"/>
      <protection/>
    </xf>
    <xf numFmtId="0" fontId="21" fillId="0" borderId="11" xfId="128" applyNumberFormat="1" applyFont="1" applyFill="1" applyBorder="1" applyAlignment="1">
      <alignment horizontal="left" vertical="center"/>
      <protection/>
    </xf>
    <xf numFmtId="0" fontId="21" fillId="0" borderId="11" xfId="128" applyNumberFormat="1" applyFont="1" applyFill="1" applyBorder="1" applyAlignment="1">
      <alignment horizontal="right" vertical="center" indent="1"/>
      <protection/>
    </xf>
    <xf numFmtId="0" fontId="21" fillId="0" borderId="35" xfId="131" applyNumberFormat="1" applyFont="1" applyBorder="1" applyAlignment="1">
      <alignment horizontal="centerContinuous" vertical="center"/>
      <protection/>
    </xf>
    <xf numFmtId="0" fontId="2" fillId="0" borderId="0" xfId="0" applyNumberFormat="1" applyFont="1" applyFill="1" applyAlignment="1">
      <alignment horizontal="center" vertical="center"/>
    </xf>
    <xf numFmtId="0" fontId="2" fillId="0" borderId="0" xfId="129" applyNumberFormat="1" applyFont="1" applyFill="1" applyAlignment="1">
      <alignment horizontal="center" vertical="center"/>
      <protection/>
    </xf>
    <xf numFmtId="0" fontId="2" fillId="0" borderId="0" xfId="0" applyNumberFormat="1" applyFont="1" applyFill="1" applyAlignment="1">
      <alignment horizontal="righ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0" xfId="127" applyNumberFormat="1" applyFont="1" applyFill="1" applyAlignment="1">
      <alignment horizontal="center" vertical="center"/>
      <protection/>
    </xf>
    <xf numFmtId="0" fontId="127" fillId="0" borderId="0" xfId="127" applyNumberFormat="1" applyFont="1" applyFill="1" applyAlignment="1">
      <alignment horizontal="center" vertical="center"/>
      <protection/>
    </xf>
    <xf numFmtId="0" fontId="2" fillId="0" borderId="29" xfId="127" applyNumberFormat="1" applyFont="1" applyFill="1" applyBorder="1" applyAlignment="1">
      <alignment horizontal="center" vertical="center" wrapText="1"/>
      <protection/>
    </xf>
    <xf numFmtId="0" fontId="2" fillId="0" borderId="20" xfId="127" applyNumberFormat="1" applyFont="1" applyFill="1" applyBorder="1" applyAlignment="1">
      <alignment horizontal="center" vertical="center" wrapText="1"/>
      <protection/>
    </xf>
    <xf numFmtId="0" fontId="2" fillId="0" borderId="12" xfId="129" applyNumberFormat="1" applyFont="1" applyFill="1" applyBorder="1" applyAlignment="1">
      <alignment horizontal="center" vertical="center" wrapText="1"/>
      <protection/>
    </xf>
    <xf numFmtId="3" fontId="2" fillId="0" borderId="0" xfId="0" applyNumberFormat="1" applyFont="1" applyFill="1" applyBorder="1" applyAlignment="1">
      <alignment horizontal="right" vertical="center"/>
    </xf>
    <xf numFmtId="3" fontId="2" fillId="0" borderId="0" xfId="129" applyNumberFormat="1" applyFont="1" applyFill="1" applyBorder="1" applyAlignment="1">
      <alignment horizontal="right" vertical="center"/>
      <protection/>
    </xf>
    <xf numFmtId="0" fontId="2" fillId="0" borderId="0" xfId="0" applyFont="1" applyFill="1" applyAlignment="1">
      <alignment vertical="center"/>
    </xf>
    <xf numFmtId="176" fontId="2" fillId="0" borderId="0" xfId="0" applyNumberFormat="1" applyFont="1" applyFill="1" applyBorder="1" applyAlignment="1">
      <alignment horizontal="right" vertical="center"/>
    </xf>
    <xf numFmtId="3" fontId="2" fillId="0" borderId="17" xfId="145" applyNumberFormat="1" applyFont="1" applyFill="1" applyBorder="1" applyAlignment="1" applyProtection="1">
      <alignment horizontal="right" vertical="center"/>
      <protection/>
    </xf>
    <xf numFmtId="3" fontId="2" fillId="0" borderId="0" xfId="145" applyNumberFormat="1" applyFont="1" applyFill="1" applyBorder="1" applyAlignment="1" applyProtection="1">
      <alignment horizontal="right" vertical="center"/>
      <protection/>
    </xf>
    <xf numFmtId="3" fontId="2" fillId="0" borderId="11" xfId="145" applyNumberFormat="1" applyFont="1" applyFill="1" applyBorder="1" applyAlignment="1" applyProtection="1">
      <alignment horizontal="right" vertical="center"/>
      <protection/>
    </xf>
    <xf numFmtId="0" fontId="2" fillId="0" borderId="0" xfId="127" applyFont="1" applyFill="1" applyAlignment="1">
      <alignment vertical="center"/>
      <protection/>
    </xf>
    <xf numFmtId="0" fontId="2" fillId="0" borderId="27" xfId="129" applyNumberFormat="1" applyFont="1" applyFill="1" applyBorder="1" applyAlignment="1">
      <alignment horizontal="center" vertical="center" wrapText="1"/>
      <protection/>
    </xf>
    <xf numFmtId="3" fontId="2" fillId="0" borderId="27" xfId="145" applyNumberFormat="1" applyFont="1" applyFill="1" applyBorder="1" applyAlignment="1" applyProtection="1">
      <alignment horizontal="right" vertical="center"/>
      <protection/>
    </xf>
    <xf numFmtId="3" fontId="2" fillId="0" borderId="22" xfId="145" applyNumberFormat="1" applyFont="1" applyFill="1" applyBorder="1" applyAlignment="1" applyProtection="1">
      <alignment horizontal="right" vertical="center"/>
      <protection/>
    </xf>
    <xf numFmtId="3" fontId="2" fillId="0" borderId="0" xfId="127" applyNumberFormat="1" applyFont="1" applyFill="1" applyBorder="1" applyAlignment="1">
      <alignment vertical="center"/>
      <protection/>
    </xf>
    <xf numFmtId="0" fontId="2" fillId="0" borderId="0" xfId="127" applyFont="1" applyFill="1" applyBorder="1" applyAlignment="1">
      <alignment vertical="center"/>
      <protection/>
    </xf>
    <xf numFmtId="3" fontId="2" fillId="0" borderId="17" xfId="145" applyNumberFormat="1" applyFont="1" applyFill="1" applyBorder="1" applyAlignment="1" applyProtection="1">
      <alignment vertical="center"/>
      <protection/>
    </xf>
    <xf numFmtId="0" fontId="2" fillId="0" borderId="0" xfId="127" applyFont="1" applyFill="1" applyBorder="1" applyAlignment="1">
      <alignment vertical="center" wrapText="1"/>
      <protection/>
    </xf>
    <xf numFmtId="3" fontId="2" fillId="0" borderId="0" xfId="145" applyNumberFormat="1" applyFont="1" applyFill="1" applyBorder="1" applyAlignment="1" applyProtection="1">
      <alignment vertical="center"/>
      <protection/>
    </xf>
    <xf numFmtId="182" fontId="2" fillId="0" borderId="22"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2" fillId="0" borderId="21" xfId="129" applyNumberFormat="1" applyFont="1" applyFill="1" applyBorder="1" applyAlignment="1">
      <alignment horizontal="center" vertical="center" wrapText="1"/>
      <protection/>
    </xf>
    <xf numFmtId="3" fontId="2" fillId="0" borderId="11" xfId="0" applyNumberFormat="1" applyFont="1" applyFill="1" applyBorder="1" applyAlignment="1">
      <alignment horizontal="right" vertical="center"/>
    </xf>
    <xf numFmtId="3" fontId="2" fillId="0" borderId="11" xfId="129" applyNumberFormat="1" applyFont="1" applyFill="1" applyBorder="1" applyAlignment="1">
      <alignment horizontal="right" vertical="center"/>
      <protection/>
    </xf>
    <xf numFmtId="0" fontId="2" fillId="0" borderId="22" xfId="129" applyNumberFormat="1" applyFont="1" applyFill="1" applyBorder="1" applyAlignment="1">
      <alignment horizontal="center" vertical="center" wrapText="1"/>
      <protection/>
    </xf>
    <xf numFmtId="0" fontId="2" fillId="0" borderId="0" xfId="0" applyFont="1" applyFill="1" applyBorder="1" applyAlignment="1">
      <alignment vertical="center"/>
    </xf>
    <xf numFmtId="0" fontId="2" fillId="0" borderId="27" xfId="0" applyFont="1" applyFill="1" applyBorder="1" applyAlignment="1">
      <alignment vertical="center"/>
    </xf>
    <xf numFmtId="0" fontId="2" fillId="0" borderId="0" xfId="0" applyNumberFormat="1" applyFont="1" applyFill="1" applyBorder="1" applyAlignment="1">
      <alignment vertical="center"/>
    </xf>
    <xf numFmtId="0" fontId="2" fillId="0" borderId="0" xfId="129" applyNumberFormat="1" applyFont="1" applyFill="1" applyAlignment="1">
      <alignment vertical="center"/>
      <protection/>
    </xf>
    <xf numFmtId="0" fontId="2" fillId="0" borderId="0" xfId="127" applyNumberFormat="1" applyFont="1" applyFill="1" applyAlignment="1">
      <alignment vertical="center"/>
      <protection/>
    </xf>
    <xf numFmtId="0" fontId="10" fillId="0" borderId="16" xfId="127" applyNumberFormat="1" applyFont="1" applyFill="1" applyBorder="1" applyAlignment="1">
      <alignment horizontal="center" vertical="center" wrapText="1"/>
      <protection/>
    </xf>
    <xf numFmtId="0" fontId="22" fillId="0" borderId="13" xfId="129" applyNumberFormat="1" applyFont="1" applyFill="1" applyBorder="1" applyAlignment="1">
      <alignment horizontal="center" vertical="center" wrapText="1"/>
      <protection/>
    </xf>
    <xf numFmtId="0" fontId="30" fillId="0" borderId="0" xfId="132" applyNumberFormat="1" applyFont="1" applyAlignment="1">
      <alignment horizontal="center" vertical="center"/>
      <protection/>
    </xf>
    <xf numFmtId="0" fontId="21" fillId="0" borderId="11" xfId="132" applyNumberFormat="1" applyFont="1" applyBorder="1" applyAlignment="1">
      <alignment horizontal="right" vertical="center"/>
      <protection/>
    </xf>
    <xf numFmtId="0" fontId="21" fillId="0" borderId="22" xfId="132" applyNumberFormat="1" applyFont="1" applyBorder="1" applyAlignment="1">
      <alignment horizontal="center" vertical="center" wrapText="1"/>
      <protection/>
    </xf>
    <xf numFmtId="0" fontId="21" fillId="0" borderId="0" xfId="132" applyNumberFormat="1" applyFont="1" applyBorder="1" applyAlignment="1">
      <alignment horizontal="center" vertical="center" wrapText="1"/>
      <protection/>
    </xf>
    <xf numFmtId="0" fontId="21" fillId="0" borderId="24" xfId="132" applyNumberFormat="1" applyFont="1" applyBorder="1" applyAlignment="1">
      <alignment horizontal="center" vertical="center"/>
      <protection/>
    </xf>
    <xf numFmtId="0" fontId="21" fillId="0" borderId="22" xfId="132" applyNumberFormat="1" applyFont="1" applyBorder="1" applyAlignment="1">
      <alignment horizontal="center" vertical="center"/>
      <protection/>
    </xf>
    <xf numFmtId="0" fontId="21" fillId="0" borderId="35" xfId="132" applyNumberFormat="1" applyFont="1" applyBorder="1" applyAlignment="1">
      <alignment horizontal="center" vertical="center"/>
      <protection/>
    </xf>
    <xf numFmtId="0" fontId="21" fillId="0" borderId="22" xfId="0" applyNumberFormat="1" applyFont="1" applyBorder="1" applyAlignment="1">
      <alignment horizontal="center" vertical="center"/>
    </xf>
    <xf numFmtId="0" fontId="21" fillId="0" borderId="40" xfId="132" applyNumberFormat="1" applyFont="1" applyBorder="1" applyAlignment="1">
      <alignment horizontal="center" vertical="center"/>
      <protection/>
    </xf>
    <xf numFmtId="0" fontId="21" fillId="0" borderId="41" xfId="132" applyNumberFormat="1" applyFont="1" applyBorder="1" applyAlignment="1">
      <alignment horizontal="center" vertical="center"/>
      <protection/>
    </xf>
    <xf numFmtId="0" fontId="21" fillId="0" borderId="42" xfId="132" applyNumberFormat="1" applyFont="1" applyBorder="1" applyAlignment="1">
      <alignment horizontal="center" vertical="center"/>
      <protection/>
    </xf>
    <xf numFmtId="0" fontId="21" fillId="0" borderId="41" xfId="0" applyNumberFormat="1" applyFont="1" applyBorder="1" applyAlignment="1">
      <alignment horizontal="center" vertical="center"/>
    </xf>
    <xf numFmtId="0" fontId="2" fillId="0" borderId="0" xfId="132" applyNumberFormat="1" applyFont="1" applyAlignment="1">
      <alignment horizontal="left" vertical="center"/>
      <protection/>
    </xf>
    <xf numFmtId="0" fontId="30" fillId="0" borderId="0" xfId="130" applyNumberFormat="1" applyFont="1" applyAlignment="1">
      <alignment horizontal="center" vertical="center" wrapText="1"/>
      <protection/>
    </xf>
    <xf numFmtId="0" fontId="21" fillId="0" borderId="22" xfId="131" applyNumberFormat="1" applyFont="1" applyBorder="1" applyAlignment="1">
      <alignment horizontal="center" vertical="center"/>
      <protection/>
    </xf>
    <xf numFmtId="0" fontId="21" fillId="0" borderId="32" xfId="131" applyNumberFormat="1" applyFont="1" applyBorder="1" applyAlignment="1">
      <alignment horizontal="center" vertical="center"/>
      <protection/>
    </xf>
    <xf numFmtId="0" fontId="21" fillId="0" borderId="11" xfId="131" applyNumberFormat="1" applyFont="1" applyBorder="1" applyAlignment="1">
      <alignment horizontal="center" vertical="center"/>
      <protection/>
    </xf>
    <xf numFmtId="0" fontId="21" fillId="0" borderId="21" xfId="131" applyNumberFormat="1" applyFont="1" applyBorder="1" applyAlignment="1">
      <alignment horizontal="center" vertical="center"/>
      <protection/>
    </xf>
    <xf numFmtId="0" fontId="30" fillId="0" borderId="0" xfId="133" applyNumberFormat="1" applyFont="1" applyFill="1" applyAlignment="1">
      <alignment horizontal="center" vertical="center"/>
      <protection/>
    </xf>
    <xf numFmtId="0" fontId="21" fillId="0" borderId="22" xfId="133" applyNumberFormat="1" applyFont="1" applyFill="1" applyBorder="1" applyAlignment="1">
      <alignment horizontal="center" vertical="center"/>
      <protection/>
    </xf>
    <xf numFmtId="0" fontId="21" fillId="0" borderId="32" xfId="133" applyNumberFormat="1" applyFont="1" applyFill="1" applyBorder="1" applyAlignment="1">
      <alignment horizontal="center" vertical="center"/>
      <protection/>
    </xf>
    <xf numFmtId="0" fontId="21" fillId="0" borderId="0" xfId="133" applyNumberFormat="1" applyFont="1" applyFill="1" applyBorder="1" applyAlignment="1">
      <alignment horizontal="center" vertical="center"/>
      <protection/>
    </xf>
    <xf numFmtId="0" fontId="21" fillId="0" borderId="12" xfId="133" applyNumberFormat="1" applyFont="1" applyFill="1" applyBorder="1" applyAlignment="1">
      <alignment horizontal="center" vertical="center"/>
      <protection/>
    </xf>
    <xf numFmtId="0" fontId="21" fillId="0" borderId="24" xfId="133" applyNumberFormat="1" applyFont="1" applyFill="1" applyBorder="1" applyAlignment="1">
      <alignment horizontal="center" vertical="center"/>
      <protection/>
    </xf>
    <xf numFmtId="0" fontId="21" fillId="0" borderId="35" xfId="133" applyNumberFormat="1" applyFont="1" applyFill="1" applyBorder="1" applyAlignment="1">
      <alignment horizontal="center" vertical="center"/>
      <protection/>
    </xf>
    <xf numFmtId="0" fontId="21" fillId="0" borderId="43" xfId="133" applyNumberFormat="1" applyFont="1" applyFill="1" applyBorder="1" applyAlignment="1">
      <alignment horizontal="center" vertical="center" wrapText="1"/>
      <protection/>
    </xf>
    <xf numFmtId="0" fontId="21" fillId="0" borderId="42" xfId="133" applyNumberFormat="1" applyFont="1" applyFill="1" applyBorder="1" applyAlignment="1">
      <alignment horizontal="center" vertical="center" wrapText="1"/>
      <protection/>
    </xf>
    <xf numFmtId="0" fontId="21" fillId="0" borderId="0" xfId="133" applyNumberFormat="1" applyFont="1" applyFill="1" applyBorder="1" applyAlignment="1">
      <alignment horizontal="center" vertical="center" wrapText="1"/>
      <protection/>
    </xf>
    <xf numFmtId="0" fontId="21" fillId="0" borderId="12" xfId="133" applyNumberFormat="1" applyFont="1" applyFill="1" applyBorder="1" applyAlignment="1">
      <alignment horizontal="center" vertical="center" wrapText="1"/>
      <protection/>
    </xf>
    <xf numFmtId="0" fontId="21" fillId="0" borderId="11" xfId="133" applyNumberFormat="1" applyFont="1" applyFill="1" applyBorder="1" applyAlignment="1">
      <alignment horizontal="center" vertical="center" wrapText="1"/>
      <protection/>
    </xf>
    <xf numFmtId="0" fontId="21" fillId="0" borderId="21" xfId="133" applyNumberFormat="1" applyFont="1" applyFill="1" applyBorder="1" applyAlignment="1">
      <alignment horizontal="center" vertical="center" wrapText="1"/>
      <protection/>
    </xf>
    <xf numFmtId="0" fontId="21" fillId="0" borderId="0" xfId="133" applyNumberFormat="1" applyFont="1" applyFill="1" applyAlignment="1">
      <alignment horizontal="center" vertical="center"/>
      <protection/>
    </xf>
    <xf numFmtId="0" fontId="21" fillId="0" borderId="11" xfId="133" applyNumberFormat="1" applyFont="1" applyFill="1" applyBorder="1" applyAlignment="1">
      <alignment horizontal="right" vertical="center"/>
      <protection/>
    </xf>
    <xf numFmtId="0" fontId="21" fillId="0" borderId="22" xfId="133" applyNumberFormat="1" applyFont="1" applyFill="1" applyBorder="1" applyAlignment="1">
      <alignment horizontal="center" vertical="center"/>
      <protection/>
    </xf>
    <xf numFmtId="0" fontId="21" fillId="0" borderId="40" xfId="133" applyNumberFormat="1" applyFont="1" applyFill="1" applyBorder="1" applyAlignment="1">
      <alignment horizontal="center" vertical="center"/>
      <protection/>
    </xf>
    <xf numFmtId="0" fontId="21" fillId="0" borderId="41" xfId="133" applyNumberFormat="1" applyFont="1" applyFill="1" applyBorder="1" applyAlignment="1">
      <alignment horizontal="center" vertical="center"/>
      <protection/>
    </xf>
    <xf numFmtId="0" fontId="21" fillId="0" borderId="42" xfId="133" applyNumberFormat="1" applyFont="1" applyFill="1" applyBorder="1" applyAlignment="1">
      <alignment horizontal="center" vertical="center"/>
      <protection/>
    </xf>
    <xf numFmtId="0" fontId="21" fillId="0" borderId="0" xfId="129" applyNumberFormat="1" applyFont="1" applyFill="1" applyBorder="1" applyAlignment="1">
      <alignment horizontal="left" vertical="center" wrapText="1"/>
      <protection/>
    </xf>
    <xf numFmtId="0" fontId="21" fillId="0" borderId="0" xfId="129" applyNumberFormat="1" applyFont="1" applyFill="1" applyBorder="1" applyAlignment="1">
      <alignment horizontal="left" vertical="center"/>
      <protection/>
    </xf>
    <xf numFmtId="0" fontId="21" fillId="0" borderId="0" xfId="129" applyNumberFormat="1" applyFont="1" applyFill="1" applyBorder="1" applyAlignment="1">
      <alignment vertical="center"/>
      <protection/>
    </xf>
    <xf numFmtId="0" fontId="21" fillId="0" borderId="11" xfId="129" applyNumberFormat="1" applyFont="1" applyFill="1" applyBorder="1" applyAlignment="1">
      <alignment horizontal="center" vertical="center"/>
      <protection/>
    </xf>
    <xf numFmtId="0" fontId="21" fillId="0" borderId="21" xfId="129" applyNumberFormat="1" applyFont="1" applyFill="1" applyBorder="1" applyAlignment="1">
      <alignment horizontal="center" vertical="center"/>
      <protection/>
    </xf>
    <xf numFmtId="0" fontId="21" fillId="0" borderId="30" xfId="129" applyNumberFormat="1" applyFont="1" applyFill="1" applyBorder="1" applyAlignment="1">
      <alignment horizontal="center" vertical="center"/>
      <protection/>
    </xf>
    <xf numFmtId="0" fontId="21" fillId="0" borderId="14" xfId="129" applyNumberFormat="1" applyFont="1" applyFill="1" applyBorder="1" applyAlignment="1">
      <alignment horizontal="center" vertical="center"/>
      <protection/>
    </xf>
    <xf numFmtId="0" fontId="21" fillId="0" borderId="13" xfId="129" applyNumberFormat="1" applyFont="1" applyFill="1" applyBorder="1" applyAlignment="1">
      <alignment horizontal="center" vertical="center" wrapText="1"/>
      <protection/>
    </xf>
    <xf numFmtId="0" fontId="21" fillId="0" borderId="29" xfId="129" applyNumberFormat="1" applyFont="1" applyFill="1" applyBorder="1" applyAlignment="1">
      <alignment horizontal="center" vertical="center" wrapText="1"/>
      <protection/>
    </xf>
    <xf numFmtId="0" fontId="21" fillId="0" borderId="16" xfId="129" applyNumberFormat="1" applyFont="1" applyFill="1" applyBorder="1" applyAlignment="1">
      <alignment horizontal="center" vertical="center" wrapText="1"/>
      <protection/>
    </xf>
    <xf numFmtId="0" fontId="21" fillId="0" borderId="23" xfId="129" applyNumberFormat="1" applyFont="1" applyFill="1" applyBorder="1" applyAlignment="1">
      <alignment horizontal="center" vertical="center"/>
      <protection/>
    </xf>
    <xf numFmtId="0" fontId="21" fillId="0" borderId="0" xfId="129" applyNumberFormat="1" applyFont="1" applyFill="1" applyBorder="1" applyAlignment="1">
      <alignment horizontal="center" vertical="center"/>
      <protection/>
    </xf>
    <xf numFmtId="0" fontId="21" fillId="0" borderId="2" xfId="129" applyNumberFormat="1" applyFont="1" applyFill="1" applyBorder="1" applyAlignment="1">
      <alignment horizontal="center" vertical="center"/>
      <protection/>
    </xf>
    <xf numFmtId="0" fontId="21" fillId="0" borderId="15" xfId="129" applyNumberFormat="1" applyFont="1" applyFill="1" applyBorder="1" applyAlignment="1">
      <alignment horizontal="center" vertical="center" wrapText="1"/>
      <protection/>
    </xf>
    <xf numFmtId="0" fontId="21" fillId="0" borderId="23" xfId="129" applyNumberFormat="1" applyFont="1" applyFill="1" applyBorder="1" applyAlignment="1">
      <alignment horizontal="center" vertical="center" wrapText="1"/>
      <protection/>
    </xf>
    <xf numFmtId="0" fontId="21" fillId="0" borderId="20" xfId="129" applyNumberFormat="1" applyFont="1" applyFill="1" applyBorder="1" applyAlignment="1">
      <alignment horizontal="center" vertical="center" wrapText="1"/>
      <protection/>
    </xf>
    <xf numFmtId="0" fontId="21" fillId="0" borderId="43" xfId="129" applyNumberFormat="1" applyFont="1" applyFill="1" applyBorder="1" applyAlignment="1">
      <alignment horizontal="center" vertical="center"/>
      <protection/>
    </xf>
    <xf numFmtId="0" fontId="21" fillId="0" borderId="41" xfId="129" applyNumberFormat="1" applyFont="1" applyFill="1" applyBorder="1" applyAlignment="1">
      <alignment horizontal="center" vertical="center"/>
      <protection/>
    </xf>
    <xf numFmtId="0" fontId="21" fillId="0" borderId="42" xfId="129" applyNumberFormat="1" applyFont="1" applyFill="1" applyBorder="1" applyAlignment="1">
      <alignment horizontal="center" vertical="center"/>
      <protection/>
    </xf>
    <xf numFmtId="0" fontId="21" fillId="0" borderId="15" xfId="129" applyNumberFormat="1" applyFont="1" applyFill="1" applyBorder="1" applyAlignment="1">
      <alignment horizontal="center" vertical="center"/>
      <protection/>
    </xf>
    <xf numFmtId="0" fontId="30" fillId="0" borderId="0" xfId="129" applyNumberFormat="1" applyFont="1" applyFill="1" applyAlignment="1">
      <alignment horizontal="center" vertical="center"/>
      <protection/>
    </xf>
    <xf numFmtId="0" fontId="21" fillId="0" borderId="12" xfId="129" applyNumberFormat="1" applyFont="1" applyFill="1" applyBorder="1" applyAlignment="1">
      <alignment horizontal="center" vertical="center"/>
      <protection/>
    </xf>
    <xf numFmtId="0" fontId="21" fillId="0" borderId="44" xfId="129" applyNumberFormat="1" applyFont="1" applyFill="1" applyBorder="1" applyAlignment="1">
      <alignment horizontal="center" vertical="center"/>
      <protection/>
    </xf>
    <xf numFmtId="0" fontId="21" fillId="0" borderId="45" xfId="129" applyNumberFormat="1" applyFont="1" applyFill="1" applyBorder="1" applyAlignment="1">
      <alignment horizontal="center" vertical="center"/>
      <protection/>
    </xf>
    <xf numFmtId="0" fontId="21" fillId="0" borderId="46" xfId="129" applyNumberFormat="1" applyFont="1" applyFill="1" applyBorder="1" applyAlignment="1">
      <alignment horizontal="center" vertical="center"/>
      <protection/>
    </xf>
    <xf numFmtId="0" fontId="21" fillId="0" borderId="45" xfId="129" applyNumberFormat="1" applyFont="1" applyFill="1" applyBorder="1" applyAlignment="1">
      <alignment horizontal="center" vertical="center"/>
      <protection/>
    </xf>
    <xf numFmtId="0" fontId="21" fillId="0" borderId="46" xfId="129" applyNumberFormat="1" applyFont="1" applyFill="1" applyBorder="1" applyAlignment="1">
      <alignment horizontal="center" vertical="center"/>
      <protection/>
    </xf>
    <xf numFmtId="0" fontId="21" fillId="0" borderId="37" xfId="129" applyNumberFormat="1" applyFont="1" applyFill="1" applyBorder="1" applyAlignment="1">
      <alignment horizontal="center" vertical="center"/>
      <protection/>
    </xf>
    <xf numFmtId="0" fontId="21" fillId="0" borderId="25" xfId="129" applyNumberFormat="1" applyFont="1" applyFill="1" applyBorder="1" applyAlignment="1">
      <alignment horizontal="center" vertical="center" wrapText="1"/>
      <protection/>
    </xf>
    <xf numFmtId="0" fontId="21" fillId="0" borderId="34" xfId="129" applyNumberFormat="1" applyFont="1" applyFill="1" applyBorder="1" applyAlignment="1">
      <alignment horizontal="center" vertical="center" wrapText="1"/>
      <protection/>
    </xf>
    <xf numFmtId="0" fontId="21" fillId="0" borderId="26" xfId="129" applyNumberFormat="1" applyFont="1" applyFill="1" applyBorder="1" applyAlignment="1">
      <alignment horizontal="center" vertical="center" wrapText="1"/>
      <protection/>
    </xf>
    <xf numFmtId="0" fontId="21" fillId="0" borderId="14" xfId="129" applyNumberFormat="1" applyFont="1" applyFill="1" applyBorder="1" applyAlignment="1">
      <alignment horizontal="center" vertical="center" wrapText="1"/>
      <protection/>
    </xf>
    <xf numFmtId="0" fontId="21" fillId="0" borderId="2" xfId="129" applyNumberFormat="1" applyFont="1" applyFill="1" applyBorder="1" applyAlignment="1">
      <alignment horizontal="center" vertical="center" wrapText="1"/>
      <protection/>
    </xf>
    <xf numFmtId="0" fontId="21" fillId="0" borderId="19" xfId="129" applyNumberFormat="1" applyFont="1" applyFill="1" applyBorder="1" applyAlignment="1">
      <alignment horizontal="center" vertical="center" wrapText="1"/>
      <protection/>
    </xf>
    <xf numFmtId="0" fontId="17" fillId="0" borderId="29" xfId="129" applyNumberFormat="1" applyFont="1" applyFill="1" applyBorder="1" applyAlignment="1">
      <alignment horizontal="center" vertical="top" wrapText="1"/>
      <protection/>
    </xf>
    <xf numFmtId="0" fontId="17" fillId="0" borderId="16" xfId="129" applyNumberFormat="1" applyFont="1" applyFill="1" applyBorder="1" applyAlignment="1">
      <alignment horizontal="center" vertical="top" wrapText="1"/>
      <protection/>
    </xf>
    <xf numFmtId="0" fontId="21" fillId="0" borderId="12" xfId="129" applyNumberFormat="1" applyFont="1" applyFill="1" applyBorder="1" applyAlignment="1">
      <alignment horizontal="center" vertical="center" wrapText="1"/>
      <protection/>
    </xf>
    <xf numFmtId="0" fontId="21" fillId="0" borderId="21" xfId="129" applyNumberFormat="1" applyFont="1" applyFill="1" applyBorder="1" applyAlignment="1">
      <alignment horizontal="center" vertical="center" wrapText="1"/>
      <protection/>
    </xf>
    <xf numFmtId="0" fontId="17" fillId="0" borderId="34" xfId="129" applyNumberFormat="1" applyFont="1" applyFill="1" applyBorder="1" applyAlignment="1">
      <alignment horizontal="center" vertical="top" wrapText="1"/>
      <protection/>
    </xf>
    <xf numFmtId="0" fontId="17" fillId="0" borderId="26" xfId="129" applyNumberFormat="1" applyFont="1" applyFill="1" applyBorder="1" applyAlignment="1">
      <alignment horizontal="center" vertical="top" wrapText="1"/>
      <protection/>
    </xf>
    <xf numFmtId="0" fontId="2" fillId="0" borderId="36" xfId="129" applyNumberFormat="1" applyFont="1" applyFill="1" applyBorder="1" applyAlignment="1">
      <alignment horizontal="center" vertical="center" wrapText="1"/>
      <protection/>
    </xf>
    <xf numFmtId="0" fontId="2" fillId="0" borderId="35" xfId="129" applyNumberFormat="1" applyFont="1" applyFill="1" applyBorder="1" applyAlignment="1">
      <alignment horizontal="center" vertical="center" wrapText="1"/>
      <protection/>
    </xf>
    <xf numFmtId="0" fontId="2" fillId="0" borderId="47" xfId="129" applyNumberFormat="1" applyFont="1" applyFill="1" applyBorder="1" applyAlignment="1">
      <alignment horizontal="center" vertical="center" wrapText="1"/>
      <protection/>
    </xf>
    <xf numFmtId="0" fontId="2" fillId="0" borderId="29" xfId="129" applyNumberFormat="1" applyFont="1" applyFill="1" applyBorder="1" applyAlignment="1">
      <alignment horizontal="center" vertical="center" wrapText="1"/>
      <protection/>
    </xf>
    <xf numFmtId="0" fontId="2" fillId="0" borderId="22" xfId="129" applyNumberFormat="1" applyFont="1" applyFill="1" applyBorder="1" applyAlignment="1">
      <alignment horizontal="center" vertical="center"/>
      <protection/>
    </xf>
    <xf numFmtId="0" fontId="2" fillId="0" borderId="43" xfId="129" applyNumberFormat="1" applyFont="1" applyFill="1" applyBorder="1" applyAlignment="1">
      <alignment horizontal="center" vertical="center" wrapText="1"/>
      <protection/>
    </xf>
    <xf numFmtId="0" fontId="2" fillId="0" borderId="42" xfId="129" applyNumberFormat="1" applyFont="1" applyFill="1" applyBorder="1" applyAlignment="1">
      <alignment horizontal="center" vertical="center" wrapText="1"/>
      <protection/>
    </xf>
    <xf numFmtId="0" fontId="2" fillId="0" borderId="41" xfId="129" applyNumberFormat="1" applyFont="1" applyFill="1" applyBorder="1" applyAlignment="1">
      <alignment horizontal="center" vertical="center" wrapText="1"/>
      <protection/>
    </xf>
    <xf numFmtId="0" fontId="2" fillId="0" borderId="15" xfId="129" applyNumberFormat="1" applyFont="1" applyFill="1" applyBorder="1" applyAlignment="1">
      <alignment horizontal="center" vertical="center" wrapText="1"/>
      <protection/>
    </xf>
    <xf numFmtId="0" fontId="2" fillId="0" borderId="14" xfId="129" applyNumberFormat="1" applyFont="1" applyFill="1" applyBorder="1" applyAlignment="1">
      <alignment horizontal="center" vertical="center" wrapText="1"/>
      <protection/>
    </xf>
    <xf numFmtId="0" fontId="2" fillId="0" borderId="48" xfId="129" applyNumberFormat="1" applyFont="1" applyFill="1" applyBorder="1" applyAlignment="1">
      <alignment horizontal="center" vertical="center" wrapText="1"/>
      <protection/>
    </xf>
    <xf numFmtId="0" fontId="2" fillId="0" borderId="49" xfId="129" applyNumberFormat="1" applyFont="1" applyFill="1" applyBorder="1" applyAlignment="1">
      <alignment horizontal="center" vertical="center"/>
      <protection/>
    </xf>
    <xf numFmtId="0" fontId="21" fillId="0" borderId="0" xfId="129" applyNumberFormat="1" applyFont="1" applyFill="1" applyAlignment="1">
      <alignment horizontal="right" vertical="center"/>
      <protection/>
    </xf>
    <xf numFmtId="0" fontId="30" fillId="0" borderId="0" xfId="129" applyNumberFormat="1" applyFont="1" applyFill="1" applyAlignment="1">
      <alignment horizontal="center" vertical="center" wrapText="1"/>
      <protection/>
    </xf>
    <xf numFmtId="0" fontId="21" fillId="0" borderId="0" xfId="129" applyNumberFormat="1" applyFont="1" applyFill="1" applyAlignment="1">
      <alignment horizontal="center" vertical="center" wrapText="1"/>
      <protection/>
    </xf>
    <xf numFmtId="0" fontId="21" fillId="0" borderId="32" xfId="129" applyNumberFormat="1" applyFont="1" applyFill="1" applyBorder="1" applyAlignment="1">
      <alignment horizontal="center" vertical="center" wrapText="1"/>
      <protection/>
    </xf>
    <xf numFmtId="0" fontId="2" fillId="0" borderId="50" xfId="129" applyNumberFormat="1" applyFont="1" applyFill="1" applyBorder="1" applyAlignment="1">
      <alignment horizontal="center" vertical="center" wrapText="1"/>
      <protection/>
    </xf>
    <xf numFmtId="0" fontId="2" fillId="0" borderId="34" xfId="129" applyNumberFormat="1" applyFont="1" applyFill="1" applyBorder="1" applyAlignment="1">
      <alignment horizontal="center" vertical="center" wrapText="1"/>
      <protection/>
    </xf>
    <xf numFmtId="0" fontId="2" fillId="0" borderId="47" xfId="129" applyNumberFormat="1" applyFont="1" applyFill="1" applyBorder="1" applyAlignment="1">
      <alignment horizontal="center" vertical="center"/>
      <protection/>
    </xf>
    <xf numFmtId="0" fontId="2" fillId="0" borderId="29" xfId="129" applyNumberFormat="1" applyFont="1" applyFill="1" applyBorder="1" applyAlignment="1">
      <alignment horizontal="center" vertical="center"/>
      <protection/>
    </xf>
    <xf numFmtId="0" fontId="21" fillId="0" borderId="43" xfId="129" applyNumberFormat="1" applyFont="1" applyFill="1" applyBorder="1" applyAlignment="1">
      <alignment horizontal="center" vertical="center" wrapText="1"/>
      <protection/>
    </xf>
    <xf numFmtId="0" fontId="21" fillId="0" borderId="40" xfId="129" applyNumberFormat="1" applyFont="1" applyFill="1" applyBorder="1" applyAlignment="1">
      <alignment horizontal="center" vertical="center" wrapText="1"/>
      <protection/>
    </xf>
    <xf numFmtId="0" fontId="21" fillId="0" borderId="41" xfId="129" applyNumberFormat="1" applyFont="1" applyFill="1" applyBorder="1" applyAlignment="1">
      <alignment horizontal="center" vertical="center" wrapText="1"/>
      <protection/>
    </xf>
    <xf numFmtId="0" fontId="21" fillId="0" borderId="42" xfId="129" applyNumberFormat="1" applyFont="1" applyFill="1" applyBorder="1" applyAlignment="1">
      <alignment horizontal="center" vertical="center" wrapText="1"/>
      <protection/>
    </xf>
    <xf numFmtId="0" fontId="21" fillId="0" borderId="31" xfId="129" applyNumberFormat="1" applyFont="1" applyFill="1" applyBorder="1" applyAlignment="1">
      <alignment horizontal="center" vertical="center" wrapText="1"/>
      <protection/>
    </xf>
    <xf numFmtId="0" fontId="21" fillId="0" borderId="31" xfId="129" applyNumberFormat="1" applyFont="1" applyFill="1" applyBorder="1" applyAlignment="1">
      <alignment horizontal="center" vertical="center"/>
      <protection/>
    </xf>
    <xf numFmtId="0" fontId="21" fillId="0" borderId="0" xfId="129" applyNumberFormat="1" applyFont="1" applyFill="1" applyAlignment="1">
      <alignment horizontal="center" vertical="center"/>
      <protection/>
    </xf>
    <xf numFmtId="0" fontId="21" fillId="0" borderId="24" xfId="129" applyNumberFormat="1" applyFont="1" applyFill="1" applyBorder="1" applyAlignment="1">
      <alignment horizontal="center" vertical="center" wrapText="1"/>
      <protection/>
    </xf>
    <xf numFmtId="0" fontId="21" fillId="0" borderId="22" xfId="129" applyNumberFormat="1" applyFont="1" applyFill="1" applyBorder="1" applyAlignment="1">
      <alignment horizontal="center" vertical="center" wrapText="1"/>
      <protection/>
    </xf>
    <xf numFmtId="0" fontId="21" fillId="0" borderId="17" xfId="129" applyNumberFormat="1" applyFont="1" applyFill="1" applyBorder="1" applyAlignment="1">
      <alignment horizontal="center" vertical="center" wrapText="1"/>
      <protection/>
    </xf>
    <xf numFmtId="0" fontId="21" fillId="0" borderId="0" xfId="129" applyNumberFormat="1" applyFont="1" applyFill="1" applyBorder="1" applyAlignment="1">
      <alignment horizontal="center" vertical="center" wrapText="1"/>
      <protection/>
    </xf>
    <xf numFmtId="0" fontId="21" fillId="0" borderId="36" xfId="129" applyNumberFormat="1" applyFont="1" applyFill="1" applyBorder="1" applyAlignment="1">
      <alignment horizontal="center" vertical="center" wrapText="1"/>
      <protection/>
    </xf>
    <xf numFmtId="0" fontId="21" fillId="0" borderId="43" xfId="129" applyNumberFormat="1" applyFont="1" applyBorder="1" applyAlignment="1">
      <alignment horizontal="center" vertical="center" wrapText="1"/>
      <protection/>
    </xf>
    <xf numFmtId="0" fontId="21" fillId="0" borderId="42" xfId="129" applyNumberFormat="1" applyFont="1" applyBorder="1" applyAlignment="1">
      <alignment horizontal="center" vertical="center"/>
      <protection/>
    </xf>
    <xf numFmtId="0" fontId="21" fillId="0" borderId="42" xfId="129" applyNumberFormat="1" applyFont="1" applyBorder="1" applyAlignment="1">
      <alignment horizontal="center" vertical="center" wrapText="1"/>
      <protection/>
    </xf>
    <xf numFmtId="0" fontId="21" fillId="0" borderId="43" xfId="129" applyNumberFormat="1" applyFont="1" applyBorder="1" applyAlignment="1">
      <alignment horizontal="center" vertical="center"/>
      <protection/>
    </xf>
    <xf numFmtId="0" fontId="21" fillId="0" borderId="13" xfId="129" applyNumberFormat="1" applyFont="1" applyBorder="1" applyAlignment="1">
      <alignment horizontal="center" vertical="center" wrapText="1"/>
      <protection/>
    </xf>
    <xf numFmtId="0" fontId="21" fillId="0" borderId="13" xfId="129" applyNumberFormat="1" applyFont="1" applyBorder="1" applyAlignment="1">
      <alignment horizontal="center" vertical="center"/>
      <protection/>
    </xf>
    <xf numFmtId="0" fontId="21" fillId="0" borderId="12" xfId="129" applyNumberFormat="1" applyFont="1" applyBorder="1" applyAlignment="1">
      <alignment horizontal="center" vertical="center" wrapText="1"/>
      <protection/>
    </xf>
    <xf numFmtId="0" fontId="21" fillId="0" borderId="21" xfId="129" applyNumberFormat="1" applyFont="1" applyBorder="1" applyAlignment="1">
      <alignment horizontal="center" vertical="center" wrapText="1"/>
      <protection/>
    </xf>
    <xf numFmtId="0" fontId="21" fillId="0" borderId="41" xfId="129" applyNumberFormat="1" applyFont="1" applyBorder="1" applyAlignment="1">
      <alignment horizontal="center" vertical="center" wrapText="1"/>
      <protection/>
    </xf>
    <xf numFmtId="0" fontId="30" fillId="0" borderId="0" xfId="129" applyNumberFormat="1" applyFont="1" applyAlignment="1">
      <alignment horizontal="center" vertical="center"/>
      <protection/>
    </xf>
    <xf numFmtId="0" fontId="21" fillId="0" borderId="0" xfId="129" applyNumberFormat="1" applyFont="1" applyAlignment="1">
      <alignment horizontal="center" vertical="center"/>
      <protection/>
    </xf>
    <xf numFmtId="0" fontId="21" fillId="0" borderId="32" xfId="129" applyNumberFormat="1" applyFont="1" applyBorder="1" applyAlignment="1">
      <alignment horizontal="center" vertical="center" wrapText="1"/>
      <protection/>
    </xf>
    <xf numFmtId="0" fontId="21" fillId="0" borderId="24" xfId="129" applyNumberFormat="1" applyFont="1" applyBorder="1" applyAlignment="1">
      <alignment horizontal="center" vertical="center" wrapText="1"/>
      <protection/>
    </xf>
    <xf numFmtId="0" fontId="21" fillId="0" borderId="22" xfId="129" applyNumberFormat="1" applyFont="1" applyBorder="1" applyAlignment="1">
      <alignment horizontal="center" vertical="center" wrapText="1"/>
      <protection/>
    </xf>
    <xf numFmtId="0" fontId="21" fillId="0" borderId="35" xfId="129" applyNumberFormat="1" applyFont="1" applyBorder="1" applyAlignment="1">
      <alignment horizontal="center" vertical="center" wrapText="1"/>
      <protection/>
    </xf>
    <xf numFmtId="0" fontId="21" fillId="0" borderId="14" xfId="129" applyNumberFormat="1" applyFont="1" applyBorder="1" applyAlignment="1">
      <alignment horizontal="center" vertical="center" wrapText="1"/>
      <protection/>
    </xf>
    <xf numFmtId="0" fontId="21" fillId="0" borderId="31" xfId="129" applyNumberFormat="1" applyFont="1" applyBorder="1" applyAlignment="1">
      <alignment horizontal="center" vertical="top" wrapText="1"/>
      <protection/>
    </xf>
    <xf numFmtId="0" fontId="21" fillId="0" borderId="23" xfId="129" applyFont="1" applyBorder="1" applyAlignment="1">
      <alignment horizontal="center" vertical="center" wrapText="1"/>
      <protection/>
    </xf>
    <xf numFmtId="0" fontId="21" fillId="0" borderId="20" xfId="129" applyFont="1" applyBorder="1" applyAlignment="1">
      <alignment horizontal="center" vertical="center" wrapText="1"/>
      <protection/>
    </xf>
    <xf numFmtId="0" fontId="21" fillId="0" borderId="15" xfId="129" applyNumberFormat="1" applyFont="1" applyBorder="1" applyAlignment="1">
      <alignment horizontal="center" vertical="center" wrapText="1"/>
      <protection/>
    </xf>
    <xf numFmtId="0" fontId="21" fillId="0" borderId="30" xfId="129" applyNumberFormat="1" applyFont="1" applyBorder="1" applyAlignment="1">
      <alignment horizontal="center" vertical="center" wrapText="1"/>
      <protection/>
    </xf>
    <xf numFmtId="0" fontId="21" fillId="0" borderId="17" xfId="129" applyNumberFormat="1" applyFont="1" applyBorder="1" applyAlignment="1">
      <alignment horizontal="center" vertical="center" wrapText="1"/>
      <protection/>
    </xf>
    <xf numFmtId="0" fontId="21" fillId="0" borderId="0" xfId="129" applyNumberFormat="1" applyFont="1" applyBorder="1" applyAlignment="1">
      <alignment horizontal="center" vertical="center" wrapText="1"/>
      <protection/>
    </xf>
    <xf numFmtId="0" fontId="21" fillId="0" borderId="2" xfId="129" applyNumberFormat="1" applyFont="1" applyBorder="1" applyAlignment="1">
      <alignment horizontal="center" vertical="center" wrapText="1"/>
      <protection/>
    </xf>
    <xf numFmtId="0" fontId="21" fillId="0" borderId="43" xfId="129" applyNumberFormat="1" applyFont="1" applyBorder="1" applyAlignment="1">
      <alignment horizontal="center" vertical="top" wrapText="1"/>
      <protection/>
    </xf>
    <xf numFmtId="0" fontId="21" fillId="0" borderId="42" xfId="129" applyNumberFormat="1" applyFont="1" applyBorder="1" applyAlignment="1">
      <alignment horizontal="center" vertical="top" wrapText="1"/>
      <protection/>
    </xf>
    <xf numFmtId="0" fontId="2" fillId="0" borderId="43" xfId="129" applyNumberFormat="1" applyFont="1" applyBorder="1" applyAlignment="1">
      <alignment horizontal="center" vertical="top" wrapText="1"/>
      <protection/>
    </xf>
    <xf numFmtId="0" fontId="2" fillId="0" borderId="42" xfId="129" applyNumberFormat="1" applyFont="1" applyBorder="1" applyAlignment="1">
      <alignment horizontal="center" vertical="top" wrapText="1"/>
      <protection/>
    </xf>
    <xf numFmtId="0" fontId="32" fillId="0" borderId="13" xfId="129" applyNumberFormat="1" applyFont="1" applyBorder="1" applyAlignment="1">
      <alignment horizontal="center" vertical="center" wrapText="1"/>
      <protection/>
    </xf>
    <xf numFmtId="0" fontId="32" fillId="0" borderId="14" xfId="129" applyNumberFormat="1" applyFont="1" applyBorder="1" applyAlignment="1">
      <alignment horizontal="center" vertical="center" wrapText="1"/>
      <protection/>
    </xf>
    <xf numFmtId="0" fontId="32" fillId="0" borderId="41" xfId="129" applyNumberFormat="1" applyFont="1" applyBorder="1" applyAlignment="1">
      <alignment horizontal="center" vertical="top" wrapText="1"/>
      <protection/>
    </xf>
    <xf numFmtId="0" fontId="32" fillId="0" borderId="42" xfId="129" applyNumberFormat="1" applyFont="1" applyBorder="1" applyAlignment="1">
      <alignment horizontal="center" vertical="top" wrapText="1"/>
      <protection/>
    </xf>
    <xf numFmtId="0" fontId="21" fillId="0" borderId="36" xfId="129" applyNumberFormat="1" applyFont="1" applyBorder="1" applyAlignment="1">
      <alignment horizontal="center" vertical="center" wrapText="1"/>
      <protection/>
    </xf>
    <xf numFmtId="0" fontId="21" fillId="0" borderId="23" xfId="129" applyNumberFormat="1" applyFont="1" applyBorder="1" applyAlignment="1">
      <alignment horizontal="center" vertical="center" wrapText="1"/>
      <protection/>
    </xf>
    <xf numFmtId="0" fontId="21" fillId="0" borderId="33" xfId="129" applyNumberFormat="1" applyFont="1" applyBorder="1" applyAlignment="1">
      <alignment horizontal="center" vertical="center" wrapText="1"/>
      <protection/>
    </xf>
    <xf numFmtId="0" fontId="21" fillId="0" borderId="50" xfId="129" applyNumberFormat="1" applyFont="1" applyFill="1" applyBorder="1" applyAlignment="1">
      <alignment horizontal="center" vertical="center" wrapText="1"/>
      <protection/>
    </xf>
    <xf numFmtId="0" fontId="21" fillId="0" borderId="47" xfId="129" applyNumberFormat="1" applyFont="1" applyFill="1" applyBorder="1" applyAlignment="1">
      <alignment horizontal="center" vertical="center" wrapText="1"/>
      <protection/>
    </xf>
    <xf numFmtId="0" fontId="21" fillId="0" borderId="35" xfId="129" applyNumberFormat="1" applyFont="1" applyFill="1" applyBorder="1" applyAlignment="1">
      <alignment horizontal="center" vertical="center" wrapText="1"/>
      <protection/>
    </xf>
    <xf numFmtId="0" fontId="21" fillId="0" borderId="51" xfId="129" applyNumberFormat="1" applyFont="1" applyFill="1" applyBorder="1" applyAlignment="1">
      <alignment horizontal="center" vertical="center" wrapText="1"/>
      <protection/>
    </xf>
    <xf numFmtId="0" fontId="30" fillId="0" borderId="0" xfId="129" applyNumberFormat="1" applyFont="1" applyAlignment="1">
      <alignment horizontal="center" vertical="center" wrapText="1"/>
      <protection/>
    </xf>
    <xf numFmtId="0" fontId="21" fillId="0" borderId="0" xfId="129" applyNumberFormat="1" applyFont="1" applyAlignment="1">
      <alignment horizontal="right" vertical="center"/>
      <protection/>
    </xf>
    <xf numFmtId="0" fontId="21" fillId="0" borderId="22" xfId="129" applyNumberFormat="1" applyFont="1" applyBorder="1" applyAlignment="1">
      <alignment horizontal="center" vertical="center"/>
      <protection/>
    </xf>
    <xf numFmtId="0" fontId="21" fillId="0" borderId="35" xfId="129" applyNumberFormat="1" applyFont="1" applyBorder="1" applyAlignment="1">
      <alignment horizontal="center" vertical="center"/>
      <protection/>
    </xf>
    <xf numFmtId="0" fontId="21" fillId="0" borderId="47" xfId="129" applyNumberFormat="1" applyFont="1" applyBorder="1" applyAlignment="1">
      <alignment horizontal="center" vertical="center"/>
      <protection/>
    </xf>
    <xf numFmtId="0" fontId="21" fillId="0" borderId="30" xfId="0" applyNumberFormat="1" applyFont="1" applyBorder="1" applyAlignment="1">
      <alignment horizontal="center" vertical="center" wrapText="1"/>
    </xf>
    <xf numFmtId="0" fontId="21" fillId="0" borderId="0" xfId="0" applyNumberFormat="1" applyFont="1" applyBorder="1" applyAlignment="1">
      <alignment horizontal="center" vertical="center" wrapText="1"/>
    </xf>
    <xf numFmtId="0" fontId="21" fillId="0" borderId="40" xfId="129" applyNumberFormat="1" applyFont="1" applyBorder="1" applyAlignment="1">
      <alignment horizontal="center" vertical="center" wrapText="1"/>
      <protection/>
    </xf>
    <xf numFmtId="0" fontId="21" fillId="0" borderId="31" xfId="129" applyNumberFormat="1" applyFont="1" applyBorder="1" applyAlignment="1">
      <alignment horizontal="center" vertical="center"/>
      <protection/>
    </xf>
    <xf numFmtId="0" fontId="21" fillId="0" borderId="29" xfId="129" applyNumberFormat="1" applyFont="1" applyBorder="1" applyAlignment="1">
      <alignment horizontal="center" vertical="center" wrapText="1"/>
      <protection/>
    </xf>
    <xf numFmtId="0" fontId="21" fillId="0" borderId="29" xfId="129" applyNumberFormat="1" applyFont="1" applyBorder="1" applyAlignment="1">
      <alignment horizontal="center" vertical="center"/>
      <protection/>
    </xf>
    <xf numFmtId="0" fontId="21" fillId="0" borderId="34" xfId="129" applyNumberFormat="1" applyFont="1" applyBorder="1" applyAlignment="1">
      <alignment horizontal="center" vertical="center" wrapText="1"/>
      <protection/>
    </xf>
    <xf numFmtId="0" fontId="21" fillId="0" borderId="26" xfId="129" applyNumberFormat="1" applyFont="1" applyBorder="1" applyAlignment="1">
      <alignment horizontal="center" vertical="center" wrapText="1"/>
      <protection/>
    </xf>
    <xf numFmtId="0" fontId="21" fillId="0" borderId="16" xfId="129" applyNumberFormat="1" applyFont="1" applyBorder="1" applyAlignment="1">
      <alignment horizontal="center" vertical="center" wrapText="1"/>
      <protection/>
    </xf>
    <xf numFmtId="0" fontId="21" fillId="0" borderId="19" xfId="129" applyNumberFormat="1" applyFont="1" applyBorder="1" applyAlignment="1">
      <alignment horizontal="center" vertical="center" wrapText="1"/>
      <protection/>
    </xf>
    <xf numFmtId="0" fontId="21" fillId="0" borderId="20" xfId="129" applyNumberFormat="1" applyFont="1" applyBorder="1" applyAlignment="1">
      <alignment horizontal="center" vertical="center" wrapText="1"/>
      <protection/>
    </xf>
    <xf numFmtId="0" fontId="21" fillId="0" borderId="16" xfId="129" applyNumberFormat="1" applyFont="1" applyBorder="1" applyAlignment="1">
      <alignment horizontal="center" vertical="center"/>
      <protection/>
    </xf>
    <xf numFmtId="0" fontId="21" fillId="0" borderId="50" xfId="129" applyNumberFormat="1" applyFont="1" applyBorder="1" applyAlignment="1">
      <alignment horizontal="center" vertical="center"/>
      <protection/>
    </xf>
    <xf numFmtId="0" fontId="21" fillId="0" borderId="0" xfId="129" applyNumberFormat="1" applyFont="1" applyBorder="1" applyAlignment="1">
      <alignment horizontal="center" vertical="center"/>
      <protection/>
    </xf>
    <xf numFmtId="0" fontId="21" fillId="0" borderId="2" xfId="129" applyNumberFormat="1" applyFont="1" applyBorder="1" applyAlignment="1">
      <alignment horizontal="center" vertical="center"/>
      <protection/>
    </xf>
    <xf numFmtId="0" fontId="21" fillId="0" borderId="36" xfId="129" applyNumberFormat="1" applyFont="1" applyBorder="1" applyAlignment="1">
      <alignment horizontal="center" vertical="center"/>
      <protection/>
    </xf>
    <xf numFmtId="0" fontId="21" fillId="0" borderId="23" xfId="129" applyNumberFormat="1" applyFont="1" applyBorder="1" applyAlignment="1">
      <alignment horizontal="center" vertical="center"/>
      <protection/>
    </xf>
    <xf numFmtId="0" fontId="21" fillId="0" borderId="51" xfId="129" applyNumberFormat="1" applyFont="1" applyBorder="1" applyAlignment="1">
      <alignment horizontal="center" vertical="center"/>
      <protection/>
    </xf>
    <xf numFmtId="0" fontId="21" fillId="0" borderId="15" xfId="129" applyNumberFormat="1" applyFont="1" applyBorder="1" applyAlignment="1">
      <alignment horizontal="center" vertical="center"/>
      <protection/>
    </xf>
    <xf numFmtId="0" fontId="21" fillId="0" borderId="14" xfId="129" applyNumberFormat="1" applyFont="1" applyBorder="1" applyAlignment="1">
      <alignment horizontal="center" vertical="center"/>
      <protection/>
    </xf>
    <xf numFmtId="0" fontId="21" fillId="0" borderId="41" xfId="129" applyNumberFormat="1" applyFont="1" applyBorder="1" applyAlignment="1">
      <alignment horizontal="center" vertical="center"/>
      <protection/>
    </xf>
    <xf numFmtId="0" fontId="21" fillId="0" borderId="11" xfId="129" applyNumberFormat="1" applyFont="1" applyBorder="1" applyAlignment="1">
      <alignment horizontal="right" vertical="center"/>
      <protection/>
    </xf>
    <xf numFmtId="0" fontId="21" fillId="0" borderId="47" xfId="129" applyNumberFormat="1" applyFont="1" applyBorder="1" applyAlignment="1">
      <alignment horizontal="center" vertical="center" wrapText="1"/>
      <protection/>
    </xf>
    <xf numFmtId="0" fontId="21" fillId="0" borderId="31" xfId="129" applyNumberFormat="1" applyFont="1" applyBorder="1" applyAlignment="1">
      <alignment horizontal="center" vertical="center" wrapText="1"/>
      <protection/>
    </xf>
    <xf numFmtId="0" fontId="21" fillId="0" borderId="23" xfId="129" applyNumberFormat="1" applyFont="1" applyBorder="1" applyAlignment="1">
      <alignment horizontal="center" vertical="top" wrapText="1"/>
      <protection/>
    </xf>
    <xf numFmtId="0" fontId="21" fillId="0" borderId="2" xfId="129" applyNumberFormat="1" applyFont="1" applyBorder="1" applyAlignment="1">
      <alignment horizontal="center" vertical="top" wrapText="1"/>
      <protection/>
    </xf>
    <xf numFmtId="0" fontId="21" fillId="0" borderId="0" xfId="129" applyNumberFormat="1" applyFont="1" applyBorder="1" applyAlignment="1">
      <alignment horizontal="center" vertical="top" wrapText="1"/>
      <protection/>
    </xf>
    <xf numFmtId="0" fontId="21" fillId="0" borderId="41" xfId="129" applyNumberFormat="1" applyFont="1" applyBorder="1" applyAlignment="1">
      <alignment horizontal="center" vertical="top" wrapText="1"/>
      <protection/>
    </xf>
    <xf numFmtId="0" fontId="21" fillId="0" borderId="29" xfId="129" applyNumberFormat="1" applyFont="1" applyBorder="1" applyAlignment="1">
      <alignment horizontal="center" vertical="top" wrapText="1"/>
      <protection/>
    </xf>
    <xf numFmtId="0" fontId="31" fillId="0" borderId="29" xfId="129" applyNumberFormat="1" applyFont="1" applyBorder="1" applyAlignment="1">
      <alignment horizontal="center" vertical="center" wrapText="1"/>
      <protection/>
    </xf>
    <xf numFmtId="0" fontId="31" fillId="0" borderId="16" xfId="129" applyNumberFormat="1" applyFont="1" applyBorder="1" applyAlignment="1">
      <alignment horizontal="center" vertical="center" wrapText="1"/>
      <protection/>
    </xf>
    <xf numFmtId="0" fontId="21" fillId="0" borderId="44" xfId="129" applyNumberFormat="1" applyFont="1" applyBorder="1" applyAlignment="1">
      <alignment horizontal="center" vertical="center"/>
      <protection/>
    </xf>
    <xf numFmtId="0" fontId="21" fillId="0" borderId="45" xfId="129" applyNumberFormat="1" applyFont="1" applyBorder="1" applyAlignment="1">
      <alignment horizontal="center" vertical="center"/>
      <protection/>
    </xf>
    <xf numFmtId="0" fontId="21" fillId="0" borderId="12" xfId="129" applyNumberFormat="1" applyFont="1" applyBorder="1" applyAlignment="1">
      <alignment horizontal="center" vertical="center"/>
      <protection/>
    </xf>
    <xf numFmtId="0" fontId="21" fillId="0" borderId="49" xfId="129" applyNumberFormat="1" applyFont="1" applyBorder="1" applyAlignment="1">
      <alignment horizontal="center" vertical="center"/>
      <protection/>
    </xf>
    <xf numFmtId="0" fontId="21" fillId="0" borderId="28" xfId="129" applyNumberFormat="1" applyFont="1" applyBorder="1" applyAlignment="1">
      <alignment horizontal="center" vertical="center"/>
      <protection/>
    </xf>
    <xf numFmtId="0" fontId="21" fillId="0" borderId="52" xfId="129" applyNumberFormat="1" applyFont="1" applyBorder="1" applyAlignment="1">
      <alignment horizontal="center" vertical="center"/>
      <protection/>
    </xf>
    <xf numFmtId="0" fontId="21" fillId="0" borderId="33" xfId="129" applyNumberFormat="1" applyFont="1" applyBorder="1" applyAlignment="1">
      <alignment horizontal="center" vertical="center"/>
      <protection/>
    </xf>
    <xf numFmtId="0" fontId="21" fillId="0" borderId="30" xfId="129" applyNumberFormat="1" applyFont="1" applyBorder="1" applyAlignment="1">
      <alignment horizontal="center" vertical="center"/>
      <protection/>
    </xf>
    <xf numFmtId="0" fontId="21" fillId="0" borderId="53" xfId="129" applyNumberFormat="1" applyFont="1" applyBorder="1" applyAlignment="1">
      <alignment horizontal="center" vertical="center"/>
      <protection/>
    </xf>
    <xf numFmtId="0" fontId="21" fillId="0" borderId="44" xfId="129" applyNumberFormat="1" applyFont="1" applyBorder="1" applyAlignment="1">
      <alignment horizontal="center" vertical="center" wrapText="1"/>
      <protection/>
    </xf>
    <xf numFmtId="0" fontId="21" fillId="0" borderId="45" xfId="129" applyNumberFormat="1" applyFont="1" applyBorder="1" applyAlignment="1">
      <alignment horizontal="center" vertical="center"/>
      <protection/>
    </xf>
    <xf numFmtId="0" fontId="21" fillId="0" borderId="46" xfId="129" applyNumberFormat="1" applyFont="1" applyBorder="1" applyAlignment="1">
      <alignment horizontal="center" vertical="center"/>
      <protection/>
    </xf>
    <xf numFmtId="0" fontId="21" fillId="0" borderId="22" xfId="129" applyNumberFormat="1" applyFont="1" applyBorder="1" applyAlignment="1">
      <alignment horizontal="center" vertical="center" wrapText="1"/>
      <protection/>
    </xf>
    <xf numFmtId="0" fontId="21" fillId="0" borderId="35" xfId="129" applyNumberFormat="1" applyFont="1" applyBorder="1" applyAlignment="1">
      <alignment horizontal="center" vertical="center"/>
      <protection/>
    </xf>
    <xf numFmtId="0" fontId="21" fillId="0" borderId="36" xfId="129" applyNumberFormat="1" applyFont="1" applyBorder="1" applyAlignment="1">
      <alignment horizontal="center" vertical="center" wrapText="1"/>
      <protection/>
    </xf>
    <xf numFmtId="0" fontId="21" fillId="0" borderId="23" xfId="129" applyNumberFormat="1" applyFont="1" applyBorder="1" applyAlignment="1">
      <alignment horizontal="center" vertical="center" wrapText="1"/>
      <protection/>
    </xf>
    <xf numFmtId="0" fontId="21" fillId="0" borderId="21" xfId="129" applyNumberFormat="1" applyFont="1" applyBorder="1" applyAlignment="1">
      <alignment horizontal="center" vertical="center"/>
      <protection/>
    </xf>
    <xf numFmtId="0" fontId="21" fillId="0" borderId="0" xfId="129" applyNumberFormat="1" applyFont="1" applyBorder="1" applyAlignment="1">
      <alignment horizontal="right" vertical="center"/>
      <protection/>
    </xf>
    <xf numFmtId="0" fontId="21" fillId="0" borderId="32" xfId="129" applyNumberFormat="1" applyFont="1" applyBorder="1" applyAlignment="1">
      <alignment horizontal="center" vertical="center"/>
      <protection/>
    </xf>
    <xf numFmtId="0" fontId="21" fillId="0" borderId="35" xfId="129" applyNumberFormat="1" applyFont="1" applyBorder="1" applyAlignment="1">
      <alignment horizontal="center" vertical="distributed"/>
      <protection/>
    </xf>
    <xf numFmtId="0" fontId="21" fillId="0" borderId="47" xfId="129" applyNumberFormat="1" applyFont="1" applyBorder="1" applyAlignment="1">
      <alignment horizontal="center" vertical="distributed"/>
      <protection/>
    </xf>
    <xf numFmtId="0" fontId="21" fillId="0" borderId="36" xfId="129" applyNumberFormat="1" applyFont="1" applyBorder="1" applyAlignment="1">
      <alignment horizontal="center" vertical="distributed"/>
      <protection/>
    </xf>
    <xf numFmtId="0" fontId="21" fillId="0" borderId="54" xfId="129" applyNumberFormat="1" applyFont="1" applyBorder="1" applyAlignment="1">
      <alignment horizontal="center" vertical="center"/>
      <protection/>
    </xf>
    <xf numFmtId="0" fontId="21" fillId="0" borderId="37" xfId="129" applyNumberFormat="1" applyFont="1" applyBorder="1" applyAlignment="1">
      <alignment horizontal="center" vertical="center"/>
      <protection/>
    </xf>
    <xf numFmtId="0" fontId="21" fillId="0" borderId="14" xfId="129" applyNumberFormat="1" applyFont="1" applyBorder="1" applyAlignment="1">
      <alignment horizontal="center" vertical="distributed"/>
      <protection/>
    </xf>
    <xf numFmtId="0" fontId="21" fillId="0" borderId="13" xfId="129" applyNumberFormat="1" applyFont="1" applyBorder="1" applyAlignment="1">
      <alignment horizontal="center" vertical="distributed"/>
      <protection/>
    </xf>
    <xf numFmtId="0" fontId="21" fillId="0" borderId="42" xfId="129" applyNumberFormat="1" applyFont="1" applyBorder="1" applyAlignment="1">
      <alignment horizontal="center" vertical="distributed"/>
      <protection/>
    </xf>
    <xf numFmtId="0" fontId="21" fillId="0" borderId="31" xfId="129" applyNumberFormat="1" applyFont="1" applyBorder="1" applyAlignment="1">
      <alignment horizontal="center" vertical="distributed"/>
      <protection/>
    </xf>
    <xf numFmtId="0" fontId="21" fillId="0" borderId="31" xfId="129" applyNumberFormat="1" applyFont="1" applyBorder="1" applyAlignment="1">
      <alignment horizontal="center" vertical="distributed" wrapText="1"/>
      <protection/>
    </xf>
    <xf numFmtId="0" fontId="21" fillId="0" borderId="33" xfId="129" applyNumberFormat="1" applyFont="1" applyBorder="1" applyAlignment="1">
      <alignment horizontal="center" vertical="distributed"/>
      <protection/>
    </xf>
    <xf numFmtId="0" fontId="21" fillId="0" borderId="15" xfId="129" applyNumberFormat="1" applyFont="1" applyBorder="1" applyAlignment="1">
      <alignment horizontal="center" vertical="distributed"/>
      <protection/>
    </xf>
    <xf numFmtId="0" fontId="21" fillId="0" borderId="18" xfId="129" applyNumberFormat="1" applyFont="1" applyBorder="1" applyAlignment="1">
      <alignment horizontal="center" vertical="distributed" wrapText="1"/>
      <protection/>
    </xf>
    <xf numFmtId="0" fontId="21" fillId="0" borderId="19" xfId="129" applyNumberFormat="1" applyFont="1" applyBorder="1" applyAlignment="1">
      <alignment horizontal="center" vertical="distributed" wrapText="1"/>
      <protection/>
    </xf>
    <xf numFmtId="0" fontId="21" fillId="0" borderId="20" xfId="129" applyNumberFormat="1" applyFont="1" applyBorder="1" applyAlignment="1">
      <alignment horizontal="center" vertical="distributed" wrapText="1"/>
      <protection/>
    </xf>
    <xf numFmtId="0" fontId="21" fillId="0" borderId="40" xfId="129" applyNumberFormat="1" applyFont="1" applyBorder="1" applyAlignment="1">
      <alignment horizontal="center" vertical="distributed"/>
      <protection/>
    </xf>
    <xf numFmtId="0" fontId="21" fillId="0" borderId="24" xfId="129" applyNumberFormat="1" applyFont="1" applyBorder="1" applyAlignment="1">
      <alignment horizontal="center" vertical="distributed"/>
      <protection/>
    </xf>
    <xf numFmtId="0" fontId="21" fillId="0" borderId="22" xfId="129" applyNumberFormat="1" applyFont="1" applyBorder="1" applyAlignment="1">
      <alignment horizontal="center" vertical="distributed"/>
      <protection/>
    </xf>
    <xf numFmtId="0" fontId="21" fillId="0" borderId="17" xfId="129" applyNumberFormat="1" applyFont="1" applyBorder="1" applyAlignment="1">
      <alignment horizontal="center" vertical="distributed"/>
      <protection/>
    </xf>
    <xf numFmtId="0" fontId="21" fillId="0" borderId="0" xfId="129" applyNumberFormat="1" applyFont="1" applyBorder="1" applyAlignment="1">
      <alignment horizontal="center" vertical="distributed"/>
      <protection/>
    </xf>
    <xf numFmtId="0" fontId="21" fillId="0" borderId="43" xfId="129" applyNumberFormat="1" applyFont="1" applyBorder="1" applyAlignment="1">
      <alignment horizontal="center" vertical="distributed" wrapText="1"/>
      <protection/>
    </xf>
    <xf numFmtId="0" fontId="21" fillId="0" borderId="41" xfId="129" applyNumberFormat="1" applyFont="1" applyBorder="1" applyAlignment="1">
      <alignment horizontal="center" vertical="distributed" wrapText="1"/>
      <protection/>
    </xf>
    <xf numFmtId="0" fontId="21" fillId="0" borderId="19" xfId="129" applyNumberFormat="1" applyFont="1" applyBorder="1" applyAlignment="1">
      <alignment horizontal="center" vertical="center"/>
      <protection/>
    </xf>
    <xf numFmtId="0" fontId="21" fillId="0" borderId="20" xfId="129" applyNumberFormat="1" applyFont="1" applyBorder="1" applyAlignment="1">
      <alignment horizontal="center" vertical="center"/>
      <protection/>
    </xf>
    <xf numFmtId="0" fontId="21" fillId="0" borderId="55" xfId="129" applyNumberFormat="1" applyFont="1" applyBorder="1" applyAlignment="1">
      <alignment horizontal="center" vertical="center" wrapText="1"/>
      <protection/>
    </xf>
    <xf numFmtId="0" fontId="21" fillId="0" borderId="56" xfId="129" applyNumberFormat="1" applyFont="1" applyBorder="1" applyAlignment="1">
      <alignment horizontal="center" vertical="center"/>
      <protection/>
    </xf>
    <xf numFmtId="0" fontId="21" fillId="0" borderId="41" xfId="129" applyNumberFormat="1" applyFont="1" applyBorder="1" applyAlignment="1">
      <alignment horizontal="center" vertical="top"/>
      <protection/>
    </xf>
    <xf numFmtId="0" fontId="21" fillId="0" borderId="57" xfId="129" applyNumberFormat="1" applyFont="1" applyBorder="1" applyAlignment="1">
      <alignment horizontal="center" vertical="top" wrapText="1"/>
      <protection/>
    </xf>
    <xf numFmtId="0" fontId="21" fillId="0" borderId="32" xfId="129" applyNumberFormat="1" applyFont="1" applyFill="1" applyBorder="1" applyAlignment="1">
      <alignment horizontal="center" vertical="center"/>
      <protection/>
    </xf>
    <xf numFmtId="0" fontId="21" fillId="0" borderId="17" xfId="129" applyNumberFormat="1" applyFont="1" applyFill="1" applyBorder="1" applyAlignment="1">
      <alignment horizontal="center" vertical="center"/>
      <protection/>
    </xf>
    <xf numFmtId="0" fontId="21" fillId="0" borderId="36" xfId="129" applyNumberFormat="1" applyFont="1" applyFill="1" applyBorder="1" applyAlignment="1">
      <alignment horizontal="center" vertical="center"/>
      <protection/>
    </xf>
    <xf numFmtId="0" fontId="21" fillId="0" borderId="22" xfId="129" applyNumberFormat="1" applyFont="1" applyFill="1" applyBorder="1" applyAlignment="1">
      <alignment horizontal="center" vertical="center"/>
      <protection/>
    </xf>
    <xf numFmtId="0" fontId="21" fillId="0" borderId="35" xfId="129" applyNumberFormat="1" applyFont="1" applyFill="1" applyBorder="1" applyAlignment="1">
      <alignment horizontal="center" vertical="center"/>
      <protection/>
    </xf>
    <xf numFmtId="0" fontId="21" fillId="0" borderId="37" xfId="129" applyNumberFormat="1" applyFont="1" applyFill="1" applyBorder="1" applyAlignment="1">
      <alignment horizontal="center" vertical="center" wrapText="1"/>
      <protection/>
    </xf>
    <xf numFmtId="0" fontId="21" fillId="0" borderId="46" xfId="129" applyNumberFormat="1" applyFont="1" applyFill="1" applyBorder="1" applyAlignment="1">
      <alignment horizontal="center" vertical="center" wrapText="1"/>
      <protection/>
    </xf>
    <xf numFmtId="0" fontId="21" fillId="0" borderId="29" xfId="129" applyNumberFormat="1" applyFont="1" applyFill="1" applyBorder="1" applyAlignment="1">
      <alignment horizontal="center" vertical="center"/>
      <protection/>
    </xf>
    <xf numFmtId="0" fontId="21" fillId="0" borderId="0" xfId="129" applyNumberFormat="1" applyFont="1" applyFill="1" applyBorder="1" applyAlignment="1">
      <alignment vertical="center" wrapText="1"/>
      <protection/>
    </xf>
    <xf numFmtId="0" fontId="32" fillId="0" borderId="50" xfId="129" applyNumberFormat="1" applyFont="1" applyBorder="1" applyAlignment="1">
      <alignment horizontal="center" vertical="center" wrapText="1"/>
      <protection/>
    </xf>
    <xf numFmtId="0" fontId="32" fillId="0" borderId="34" xfId="129" applyNumberFormat="1" applyFont="1" applyBorder="1" applyAlignment="1">
      <alignment horizontal="center" vertical="center" wrapText="1"/>
      <protection/>
    </xf>
    <xf numFmtId="0" fontId="21" fillId="0" borderId="37" xfId="129" applyNumberFormat="1" applyFont="1" applyBorder="1" applyAlignment="1">
      <alignment horizontal="center" vertical="center" wrapText="1"/>
      <protection/>
    </xf>
    <xf numFmtId="0" fontId="21" fillId="0" borderId="45" xfId="129" applyNumberFormat="1" applyFont="1" applyBorder="1" applyAlignment="1">
      <alignment horizontal="center" vertical="center" wrapText="1"/>
      <protection/>
    </xf>
    <xf numFmtId="0" fontId="21" fillId="0" borderId="25" xfId="129" applyNumberFormat="1" applyFont="1" applyBorder="1" applyAlignment="1">
      <alignment horizontal="center" vertical="center" wrapText="1"/>
      <protection/>
    </xf>
    <xf numFmtId="0" fontId="21" fillId="0" borderId="51" xfId="129" applyNumberFormat="1" applyFont="1" applyBorder="1" applyAlignment="1">
      <alignment horizontal="center" vertical="center" wrapText="1"/>
      <protection/>
    </xf>
    <xf numFmtId="0" fontId="34" fillId="0" borderId="31" xfId="129" applyNumberFormat="1" applyFont="1" applyBorder="1" applyAlignment="1">
      <alignment horizontal="center" vertical="center" wrapText="1"/>
      <protection/>
    </xf>
    <xf numFmtId="0" fontId="2" fillId="0" borderId="29" xfId="129" applyNumberFormat="1" applyFont="1" applyBorder="1" applyAlignment="1">
      <alignment horizontal="center" vertical="center" wrapText="1"/>
      <protection/>
    </xf>
    <xf numFmtId="0" fontId="2" fillId="0" borderId="16" xfId="129" applyNumberFormat="1" applyFont="1" applyBorder="1" applyAlignment="1">
      <alignment horizontal="center" vertical="center" wrapText="1"/>
      <protection/>
    </xf>
    <xf numFmtId="0" fontId="2" fillId="0" borderId="34" xfId="129" applyNumberFormat="1" applyFont="1" applyBorder="1" applyAlignment="1">
      <alignment horizontal="center" vertical="center" wrapText="1"/>
      <protection/>
    </xf>
    <xf numFmtId="0" fontId="2" fillId="0" borderId="26" xfId="129" applyNumberFormat="1" applyFont="1" applyBorder="1" applyAlignment="1">
      <alignment horizontal="center" vertical="center" wrapText="1"/>
      <protection/>
    </xf>
    <xf numFmtId="0" fontId="2" fillId="0" borderId="2" xfId="129" applyNumberFormat="1" applyFont="1" applyBorder="1" applyAlignment="1">
      <alignment horizontal="center" vertical="center" wrapText="1"/>
      <protection/>
    </xf>
    <xf numFmtId="0" fontId="2" fillId="0" borderId="19" xfId="129" applyNumberFormat="1" applyFont="1" applyBorder="1" applyAlignment="1">
      <alignment horizontal="center" vertical="center" wrapText="1"/>
      <protection/>
    </xf>
    <xf numFmtId="0" fontId="30" fillId="0" borderId="0" xfId="0" applyNumberFormat="1" applyFont="1" applyAlignment="1">
      <alignment horizontal="center" vertical="center"/>
    </xf>
    <xf numFmtId="0" fontId="21" fillId="0" borderId="32" xfId="0" applyNumberFormat="1" applyFont="1" applyBorder="1" applyAlignment="1">
      <alignment horizontal="center" vertical="center" wrapText="1"/>
    </xf>
    <xf numFmtId="0" fontId="21" fillId="0" borderId="12" xfId="0" applyNumberFormat="1" applyFont="1" applyBorder="1" applyAlignment="1">
      <alignment horizontal="center" vertical="center" wrapText="1"/>
    </xf>
    <xf numFmtId="0" fontId="21" fillId="0" borderId="24" xfId="0" applyNumberFormat="1" applyFont="1" applyBorder="1" applyAlignment="1">
      <alignment horizontal="center" vertical="center"/>
    </xf>
    <xf numFmtId="0" fontId="21" fillId="0" borderId="35" xfId="0" applyNumberFormat="1" applyFont="1" applyBorder="1" applyAlignment="1">
      <alignment horizontal="center" vertical="center"/>
    </xf>
    <xf numFmtId="0" fontId="21" fillId="0" borderId="36" xfId="0" applyNumberFormat="1" applyFont="1" applyBorder="1" applyAlignment="1">
      <alignment horizontal="center" vertical="center"/>
    </xf>
    <xf numFmtId="0" fontId="21" fillId="0" borderId="40" xfId="0" applyNumberFormat="1" applyFont="1" applyBorder="1" applyAlignment="1">
      <alignment horizontal="center" vertical="center"/>
    </xf>
    <xf numFmtId="0" fontId="21" fillId="0" borderId="42" xfId="0" applyNumberFormat="1" applyFont="1" applyBorder="1" applyAlignment="1">
      <alignment horizontal="center" vertical="center"/>
    </xf>
    <xf numFmtId="0" fontId="21" fillId="0" borderId="43" xfId="0" applyNumberFormat="1" applyFont="1" applyBorder="1" applyAlignment="1">
      <alignment horizontal="center" vertical="center"/>
    </xf>
    <xf numFmtId="0" fontId="21" fillId="0" borderId="33" xfId="0" applyNumberFormat="1" applyFont="1" applyBorder="1" applyAlignment="1">
      <alignment horizontal="center" vertical="center"/>
    </xf>
    <xf numFmtId="0" fontId="21" fillId="0" borderId="14"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1" fillId="0" borderId="15" xfId="0" applyNumberFormat="1" applyFont="1" applyBorder="1" applyAlignment="1">
      <alignment horizontal="center" vertical="center"/>
    </xf>
    <xf numFmtId="0" fontId="21" fillId="0" borderId="23"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29"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21" fillId="0" borderId="15" xfId="0" applyNumberFormat="1" applyFont="1" applyBorder="1" applyAlignment="1">
      <alignment horizontal="center" vertical="center" wrapText="1"/>
    </xf>
    <xf numFmtId="0" fontId="21" fillId="0" borderId="14" xfId="0" applyNumberFormat="1" applyFont="1" applyBorder="1" applyAlignment="1">
      <alignment horizontal="center" vertical="center" wrapText="1"/>
    </xf>
    <xf numFmtId="0" fontId="21" fillId="0" borderId="23"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21" fillId="0" borderId="21" xfId="0" applyNumberFormat="1" applyFont="1" applyBorder="1" applyAlignment="1">
      <alignment horizontal="center" vertical="center" wrapText="1"/>
    </xf>
    <xf numFmtId="0" fontId="21" fillId="0" borderId="18" xfId="0" applyNumberFormat="1"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20" xfId="0" applyNumberFormat="1" applyFont="1" applyBorder="1" applyAlignment="1">
      <alignment horizontal="center" vertical="center" wrapText="1"/>
    </xf>
    <xf numFmtId="0" fontId="21" fillId="0" borderId="11" xfId="0" applyNumberFormat="1" applyFont="1" applyBorder="1" applyAlignment="1">
      <alignment horizontal="center" vertical="center" wrapText="1"/>
    </xf>
    <xf numFmtId="0" fontId="21" fillId="0" borderId="25" xfId="0" applyNumberFormat="1" applyFont="1" applyBorder="1" applyAlignment="1">
      <alignment horizontal="center" vertical="center"/>
    </xf>
    <xf numFmtId="0" fontId="21" fillId="0" borderId="34" xfId="0" applyNumberFormat="1" applyFont="1" applyBorder="1" applyAlignment="1">
      <alignment horizontal="center" vertical="center"/>
    </xf>
    <xf numFmtId="0" fontId="21" fillId="0" borderId="13" xfId="0" applyNumberFormat="1" applyFont="1" applyBorder="1" applyAlignment="1">
      <alignment horizontal="center" vertical="center" wrapText="1"/>
    </xf>
    <xf numFmtId="0" fontId="21" fillId="0" borderId="29" xfId="0" applyNumberFormat="1" applyFont="1" applyBorder="1" applyAlignment="1">
      <alignment horizontal="center" vertical="center" wrapText="1"/>
    </xf>
    <xf numFmtId="176" fontId="21" fillId="0" borderId="17" xfId="0" applyNumberFormat="1" applyFont="1" applyBorder="1" applyAlignment="1">
      <alignment horizontal="right" vertical="center"/>
    </xf>
    <xf numFmtId="176" fontId="21" fillId="0" borderId="0" xfId="0" applyNumberFormat="1" applyFont="1" applyBorder="1" applyAlignment="1">
      <alignment horizontal="right" vertical="center"/>
    </xf>
    <xf numFmtId="176" fontId="21" fillId="0" borderId="18" xfId="0" applyNumberFormat="1" applyFont="1" applyBorder="1" applyAlignment="1">
      <alignment horizontal="right" vertical="center"/>
    </xf>
    <xf numFmtId="176" fontId="21" fillId="0" borderId="11" xfId="0" applyNumberFormat="1" applyFont="1" applyBorder="1" applyAlignment="1">
      <alignment horizontal="right" vertical="center"/>
    </xf>
    <xf numFmtId="0" fontId="21" fillId="0" borderId="36" xfId="0" applyNumberFormat="1" applyFont="1" applyFill="1" applyBorder="1" applyAlignment="1">
      <alignment horizontal="center" vertical="center"/>
    </xf>
    <xf numFmtId="0" fontId="21" fillId="0" borderId="22" xfId="0" applyNumberFormat="1" applyFont="1" applyFill="1" applyBorder="1" applyAlignment="1">
      <alignment horizontal="center" vertical="center"/>
    </xf>
    <xf numFmtId="182" fontId="2" fillId="0" borderId="22"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11" xfId="129" applyNumberFormat="1" applyFont="1" applyFill="1" applyBorder="1" applyAlignment="1">
      <alignment horizontal="right" vertical="center"/>
      <protection/>
    </xf>
    <xf numFmtId="0" fontId="30" fillId="0" borderId="0" xfId="0" applyNumberFormat="1" applyFont="1" applyFill="1" applyAlignment="1">
      <alignment horizontal="center" vertical="center"/>
    </xf>
    <xf numFmtId="0" fontId="2" fillId="0" borderId="45" xfId="127" applyNumberFormat="1" applyFont="1" applyFill="1" applyBorder="1" applyAlignment="1">
      <alignment horizontal="center" vertical="center" wrapText="1"/>
      <protection/>
    </xf>
    <xf numFmtId="0" fontId="2" fillId="0" borderId="46" xfId="127" applyNumberFormat="1" applyFont="1" applyFill="1" applyBorder="1" applyAlignment="1">
      <alignment horizontal="center" vertical="center" wrapText="1"/>
      <protection/>
    </xf>
    <xf numFmtId="0" fontId="2" fillId="0" borderId="44" xfId="127" applyNumberFormat="1" applyFont="1" applyFill="1" applyBorder="1" applyAlignment="1">
      <alignment horizontal="center" vertical="center" wrapText="1"/>
      <protection/>
    </xf>
    <xf numFmtId="0" fontId="2" fillId="0" borderId="37" xfId="127" applyNumberFormat="1" applyFont="1" applyFill="1" applyBorder="1" applyAlignment="1">
      <alignment horizontal="center" vertical="center" wrapText="1"/>
      <protection/>
    </xf>
    <xf numFmtId="3" fontId="2" fillId="0" borderId="0" xfId="0" applyNumberFormat="1" applyFont="1" applyFill="1" applyBorder="1" applyAlignment="1">
      <alignment horizontal="right" vertical="center"/>
    </xf>
    <xf numFmtId="3" fontId="2" fillId="0" borderId="11" xfId="145" applyNumberFormat="1" applyFont="1" applyFill="1" applyBorder="1" applyAlignment="1" applyProtection="1">
      <alignment horizontal="right" vertical="center"/>
      <protection/>
    </xf>
    <xf numFmtId="3" fontId="2" fillId="0" borderId="0" xfId="129" applyNumberFormat="1" applyFont="1" applyFill="1" applyBorder="1" applyAlignment="1">
      <alignment horizontal="right" vertical="center"/>
      <protection/>
    </xf>
    <xf numFmtId="0" fontId="2" fillId="0" borderId="15" xfId="127" applyNumberFormat="1" applyFont="1" applyFill="1" applyBorder="1" applyAlignment="1">
      <alignment horizontal="center" vertical="center" wrapText="1"/>
      <protection/>
    </xf>
    <xf numFmtId="0" fontId="2" fillId="0" borderId="14" xfId="127" applyNumberFormat="1" applyFont="1" applyFill="1" applyBorder="1" applyAlignment="1">
      <alignment horizontal="center" vertical="center" wrapText="1"/>
      <protection/>
    </xf>
    <xf numFmtId="0" fontId="2" fillId="0" borderId="43" xfId="127" applyNumberFormat="1" applyFont="1" applyFill="1" applyBorder="1" applyAlignment="1">
      <alignment horizontal="center" vertical="center" wrapText="1"/>
      <protection/>
    </xf>
    <xf numFmtId="0" fontId="2" fillId="0" borderId="42" xfId="127" applyNumberFormat="1" applyFont="1" applyFill="1" applyBorder="1" applyAlignment="1">
      <alignment horizontal="center" vertical="center" wrapText="1"/>
      <protection/>
    </xf>
    <xf numFmtId="0" fontId="2" fillId="0" borderId="30" xfId="127" applyNumberFormat="1" applyFont="1" applyFill="1" applyBorder="1" applyAlignment="1">
      <alignment horizontal="center" vertical="center" wrapText="1"/>
      <protection/>
    </xf>
    <xf numFmtId="0" fontId="2" fillId="0" borderId="23" xfId="127" applyNumberFormat="1" applyFont="1" applyFill="1" applyBorder="1" applyAlignment="1">
      <alignment horizontal="center" vertical="center" wrapText="1"/>
      <protection/>
    </xf>
    <xf numFmtId="0" fontId="2" fillId="0" borderId="0" xfId="127" applyNumberFormat="1" applyFont="1" applyFill="1" applyBorder="1" applyAlignment="1">
      <alignment horizontal="center" vertical="center" wrapText="1"/>
      <protection/>
    </xf>
    <xf numFmtId="0" fontId="2" fillId="0" borderId="2" xfId="127" applyNumberFormat="1" applyFont="1" applyFill="1" applyBorder="1" applyAlignment="1">
      <alignment horizontal="center" vertical="center" wrapText="1"/>
      <protection/>
    </xf>
    <xf numFmtId="0" fontId="2" fillId="0" borderId="20" xfId="127" applyNumberFormat="1" applyFont="1" applyFill="1" applyBorder="1" applyAlignment="1">
      <alignment horizontal="center" vertical="center" wrapText="1"/>
      <protection/>
    </xf>
    <xf numFmtId="0" fontId="2" fillId="0" borderId="11" xfId="127" applyNumberFormat="1" applyFont="1" applyFill="1" applyBorder="1" applyAlignment="1">
      <alignment horizontal="center" vertical="center" wrapText="1"/>
      <protection/>
    </xf>
    <xf numFmtId="0" fontId="2" fillId="0" borderId="19" xfId="127" applyNumberFormat="1" applyFont="1" applyFill="1" applyBorder="1" applyAlignment="1">
      <alignment horizontal="center" vertical="center" wrapText="1"/>
      <protection/>
    </xf>
    <xf numFmtId="3" fontId="2" fillId="0" borderId="22" xfId="0" applyNumberFormat="1" applyFont="1" applyFill="1" applyBorder="1" applyAlignment="1">
      <alignment horizontal="right" vertical="center"/>
    </xf>
    <xf numFmtId="0" fontId="2" fillId="0" borderId="13" xfId="127" applyNumberFormat="1" applyFont="1" applyFill="1" applyBorder="1" applyAlignment="1">
      <alignment horizontal="center" vertical="center" wrapText="1"/>
      <protection/>
    </xf>
    <xf numFmtId="0" fontId="2" fillId="0" borderId="29" xfId="127" applyNumberFormat="1" applyFont="1" applyFill="1" applyBorder="1" applyAlignment="1">
      <alignment horizontal="center" vertical="center" wrapText="1"/>
      <protection/>
    </xf>
    <xf numFmtId="0" fontId="2" fillId="0" borderId="16" xfId="127" applyNumberFormat="1" applyFont="1" applyFill="1" applyBorder="1" applyAlignment="1">
      <alignment horizontal="center" vertical="center" wrapText="1"/>
      <protection/>
    </xf>
    <xf numFmtId="0" fontId="10" fillId="0" borderId="43" xfId="127" applyNumberFormat="1" applyFont="1" applyFill="1" applyBorder="1" applyAlignment="1">
      <alignment horizontal="center" vertical="center" wrapText="1"/>
      <protection/>
    </xf>
    <xf numFmtId="0" fontId="10" fillId="0" borderId="42" xfId="127" applyNumberFormat="1" applyFont="1" applyFill="1" applyBorder="1" applyAlignment="1">
      <alignment horizontal="center" vertical="center" wrapText="1"/>
      <protection/>
    </xf>
    <xf numFmtId="0" fontId="2" fillId="0" borderId="41" xfId="127" applyNumberFormat="1" applyFont="1" applyFill="1" applyBorder="1" applyAlignment="1">
      <alignment horizontal="center" vertical="center" wrapText="1"/>
      <protection/>
    </xf>
    <xf numFmtId="3" fontId="2" fillId="0" borderId="11" xfId="145" applyNumberFormat="1" applyFont="1" applyFill="1" applyBorder="1" applyAlignment="1" applyProtection="1">
      <alignment horizontal="right" vertical="center" wrapText="1"/>
      <protection/>
    </xf>
    <xf numFmtId="0" fontId="2" fillId="0" borderId="32" xfId="127" applyNumberFormat="1" applyFont="1" applyFill="1" applyBorder="1" applyAlignment="1">
      <alignment horizontal="center" vertical="center" wrapText="1"/>
      <protection/>
    </xf>
    <xf numFmtId="0" fontId="2" fillId="0" borderId="12" xfId="127" applyNumberFormat="1" applyFont="1" applyFill="1" applyBorder="1" applyAlignment="1">
      <alignment horizontal="center" vertical="center" wrapText="1"/>
      <protection/>
    </xf>
    <xf numFmtId="0" fontId="2" fillId="0" borderId="21" xfId="127" applyNumberFormat="1" applyFont="1" applyFill="1" applyBorder="1" applyAlignment="1">
      <alignment horizontal="center" vertical="center" wrapText="1"/>
      <protection/>
    </xf>
    <xf numFmtId="3" fontId="2" fillId="0" borderId="44" xfId="0" applyNumberFormat="1" applyFont="1" applyFill="1" applyBorder="1" applyAlignment="1">
      <alignment horizontal="center" vertical="center" wrapText="1"/>
    </xf>
    <xf numFmtId="3" fontId="2" fillId="0" borderId="45" xfId="0" applyNumberFormat="1" applyFont="1" applyFill="1" applyBorder="1" applyAlignment="1">
      <alignment horizontal="center" vertical="center"/>
    </xf>
    <xf numFmtId="3" fontId="2" fillId="0" borderId="46" xfId="0" applyNumberFormat="1" applyFont="1" applyFill="1" applyBorder="1" applyAlignment="1">
      <alignment horizontal="center" vertical="center"/>
    </xf>
    <xf numFmtId="0" fontId="2" fillId="0" borderId="25" xfId="127" applyNumberFormat="1" applyFont="1" applyFill="1" applyBorder="1" applyAlignment="1">
      <alignment horizontal="center" vertical="center" wrapText="1"/>
      <protection/>
    </xf>
    <xf numFmtId="0" fontId="2" fillId="0" borderId="34" xfId="127" applyNumberFormat="1" applyFont="1" applyFill="1" applyBorder="1" applyAlignment="1">
      <alignment horizontal="center" vertical="center" wrapText="1"/>
      <protection/>
    </xf>
    <xf numFmtId="3" fontId="2" fillId="0" borderId="34" xfId="0" applyNumberFormat="1" applyFont="1" applyFill="1" applyBorder="1" applyAlignment="1">
      <alignment horizontal="center" vertical="center" wrapText="1"/>
    </xf>
    <xf numFmtId="3" fontId="2" fillId="0" borderId="26" xfId="0" applyNumberFormat="1" applyFont="1" applyFill="1" applyBorder="1" applyAlignment="1">
      <alignment horizontal="center" vertical="center"/>
    </xf>
    <xf numFmtId="3" fontId="2" fillId="0" borderId="43" xfId="0" applyNumberFormat="1" applyFont="1" applyFill="1" applyBorder="1" applyAlignment="1">
      <alignment horizontal="center" vertical="center"/>
    </xf>
    <xf numFmtId="3" fontId="2" fillId="0" borderId="42" xfId="0" applyNumberFormat="1" applyFont="1" applyFill="1" applyBorder="1" applyAlignment="1">
      <alignment horizontal="center" vertical="center"/>
    </xf>
    <xf numFmtId="3" fontId="2" fillId="0" borderId="29"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xf>
    <xf numFmtId="3" fontId="2" fillId="0" borderId="43" xfId="0" applyNumberFormat="1" applyFont="1" applyFill="1" applyBorder="1" applyAlignment="1">
      <alignment horizontal="center" vertical="center" wrapText="1"/>
    </xf>
    <xf numFmtId="3" fontId="2" fillId="0" borderId="42" xfId="0" applyNumberFormat="1" applyFont="1" applyFill="1" applyBorder="1" applyAlignment="1">
      <alignment horizontal="center" vertical="center" wrapText="1"/>
    </xf>
    <xf numFmtId="0" fontId="2" fillId="0" borderId="26" xfId="127" applyNumberFormat="1" applyFont="1" applyFill="1" applyBorder="1" applyAlignment="1">
      <alignment horizontal="center" vertical="center" wrapText="1"/>
      <protection/>
    </xf>
    <xf numFmtId="0" fontId="2" fillId="0" borderId="31" xfId="127" applyNumberFormat="1" applyFont="1" applyFill="1" applyBorder="1" applyAlignment="1">
      <alignment horizontal="center" vertical="center" wrapText="1"/>
      <protection/>
    </xf>
    <xf numFmtId="3" fontId="21" fillId="0" borderId="11" xfId="145" applyNumberFormat="1" applyFont="1" applyFill="1" applyBorder="1" applyAlignment="1" applyProtection="1">
      <alignment horizontal="right" vertical="center"/>
      <protection/>
    </xf>
    <xf numFmtId="3" fontId="21" fillId="0" borderId="22" xfId="145" applyNumberFormat="1" applyFont="1" applyFill="1" applyBorder="1" applyAlignment="1" applyProtection="1">
      <alignment horizontal="right" vertical="center"/>
      <protection/>
    </xf>
    <xf numFmtId="3" fontId="21" fillId="0" borderId="0" xfId="0" applyNumberFormat="1" applyFont="1" applyFill="1" applyBorder="1" applyAlignment="1">
      <alignment horizontal="right" vertical="center"/>
    </xf>
    <xf numFmtId="3" fontId="21" fillId="0" borderId="11" xfId="0" applyNumberFormat="1" applyFont="1" applyFill="1" applyBorder="1" applyAlignment="1">
      <alignment horizontal="right" vertical="center"/>
    </xf>
    <xf numFmtId="3" fontId="21" fillId="0" borderId="0" xfId="0" applyNumberFormat="1" applyFont="1" applyFill="1" applyAlignment="1">
      <alignment horizontal="right" vertical="center"/>
    </xf>
    <xf numFmtId="3" fontId="21" fillId="0" borderId="22" xfId="0" applyNumberFormat="1" applyFont="1" applyFill="1" applyBorder="1" applyAlignment="1">
      <alignment horizontal="right" vertical="center"/>
    </xf>
    <xf numFmtId="0" fontId="21" fillId="0" borderId="0" xfId="127" applyFont="1" applyFill="1" applyBorder="1" applyAlignment="1">
      <alignment horizontal="right" vertical="center"/>
      <protection/>
    </xf>
    <xf numFmtId="176" fontId="21" fillId="0" borderId="11" xfId="0" applyNumberFormat="1" applyFont="1" applyFill="1" applyBorder="1" applyAlignment="1">
      <alignment horizontal="right" vertical="center"/>
    </xf>
    <xf numFmtId="0" fontId="21" fillId="0" borderId="20" xfId="145" applyNumberFormat="1" applyFont="1" applyFill="1" applyBorder="1" applyAlignment="1" applyProtection="1">
      <alignment horizontal="center" vertical="center" wrapText="1"/>
      <protection/>
    </xf>
    <xf numFmtId="0" fontId="21" fillId="0" borderId="11" xfId="145" applyNumberFormat="1" applyFont="1" applyFill="1" applyBorder="1" applyAlignment="1" applyProtection="1">
      <alignment horizontal="center" vertical="center" wrapText="1"/>
      <protection/>
    </xf>
    <xf numFmtId="0" fontId="21" fillId="0" borderId="15" xfId="127" applyNumberFormat="1" applyFont="1" applyFill="1" applyBorder="1" applyAlignment="1">
      <alignment horizontal="center" vertical="center" wrapText="1"/>
      <protection/>
    </xf>
    <xf numFmtId="0" fontId="21" fillId="0" borderId="30" xfId="127" applyNumberFormat="1" applyFont="1" applyFill="1" applyBorder="1" applyAlignment="1">
      <alignment horizontal="center" vertical="center" wrapText="1"/>
      <protection/>
    </xf>
    <xf numFmtId="0" fontId="21" fillId="0" borderId="20" xfId="127" applyNumberFormat="1" applyFont="1" applyFill="1" applyBorder="1" applyAlignment="1">
      <alignment horizontal="center" vertical="center" wrapText="1"/>
      <protection/>
    </xf>
    <xf numFmtId="0" fontId="21" fillId="0" borderId="11" xfId="127" applyNumberFormat="1" applyFont="1" applyFill="1" applyBorder="1" applyAlignment="1">
      <alignment horizontal="center" vertical="center" wrapText="1"/>
      <protection/>
    </xf>
    <xf numFmtId="176" fontId="21" fillId="0" borderId="22"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0" fontId="21" fillId="0" borderId="14" xfId="127" applyNumberFormat="1" applyFont="1" applyFill="1" applyBorder="1" applyAlignment="1">
      <alignment horizontal="center" vertical="center" wrapText="1"/>
      <protection/>
    </xf>
    <xf numFmtId="0" fontId="21" fillId="0" borderId="43" xfId="127" applyNumberFormat="1" applyFont="1" applyFill="1" applyBorder="1" applyAlignment="1">
      <alignment horizontal="center" vertical="center" wrapText="1"/>
      <protection/>
    </xf>
    <xf numFmtId="0" fontId="21" fillId="0" borderId="41" xfId="127" applyNumberFormat="1" applyFont="1" applyFill="1" applyBorder="1" applyAlignment="1">
      <alignment horizontal="center" vertical="center" wrapText="1"/>
      <protection/>
    </xf>
    <xf numFmtId="0" fontId="21" fillId="0" borderId="42" xfId="127" applyNumberFormat="1" applyFont="1" applyFill="1" applyBorder="1" applyAlignment="1">
      <alignment horizontal="center" vertical="center" wrapText="1"/>
      <protection/>
    </xf>
    <xf numFmtId="0" fontId="21" fillId="0" borderId="19" xfId="127" applyNumberFormat="1" applyFont="1" applyFill="1" applyBorder="1" applyAlignment="1">
      <alignment horizontal="center" vertical="center" wrapText="1"/>
      <protection/>
    </xf>
    <xf numFmtId="0" fontId="21" fillId="0" borderId="15" xfId="145" applyNumberFormat="1" applyFont="1" applyFill="1" applyBorder="1" applyAlignment="1" applyProtection="1">
      <alignment horizontal="center" vertical="center" wrapText="1"/>
      <protection/>
    </xf>
    <xf numFmtId="0" fontId="21" fillId="0" borderId="30" xfId="145" applyNumberFormat="1" applyFont="1" applyFill="1" applyBorder="1" applyAlignment="1" applyProtection="1">
      <alignment horizontal="center" vertical="center" wrapText="1"/>
      <protection/>
    </xf>
    <xf numFmtId="0" fontId="21" fillId="0" borderId="43" xfId="145" applyNumberFormat="1" applyFont="1" applyFill="1" applyBorder="1" applyAlignment="1" applyProtection="1">
      <alignment horizontal="center" vertical="center" wrapText="1"/>
      <protection/>
    </xf>
    <xf numFmtId="0" fontId="21" fillId="0" borderId="41" xfId="145" applyNumberFormat="1" applyFont="1" applyFill="1" applyBorder="1" applyAlignment="1" applyProtection="1">
      <alignment horizontal="center" vertical="center" wrapText="1"/>
      <protection/>
    </xf>
    <xf numFmtId="0" fontId="21" fillId="0" borderId="15" xfId="127" applyNumberFormat="1" applyFont="1" applyFill="1" applyBorder="1" applyAlignment="1">
      <alignment horizontal="center" vertical="center"/>
      <protection/>
    </xf>
    <xf numFmtId="0" fontId="21" fillId="0" borderId="30" xfId="127" applyNumberFormat="1" applyFont="1" applyFill="1" applyBorder="1" applyAlignment="1">
      <alignment horizontal="center" vertical="center"/>
      <protection/>
    </xf>
    <xf numFmtId="0" fontId="21" fillId="0" borderId="43" xfId="127" applyNumberFormat="1" applyFont="1" applyFill="1" applyBorder="1" applyAlignment="1">
      <alignment horizontal="center" vertical="center"/>
      <protection/>
    </xf>
    <xf numFmtId="0" fontId="21" fillId="0" borderId="41" xfId="127" applyNumberFormat="1" applyFont="1" applyFill="1" applyBorder="1" applyAlignment="1">
      <alignment horizontal="center" vertical="center"/>
      <protection/>
    </xf>
    <xf numFmtId="0" fontId="21" fillId="0" borderId="12" xfId="129" applyNumberFormat="1" applyFont="1" applyFill="1" applyBorder="1" applyAlignment="1">
      <alignment horizontal="center" vertical="center" wrapText="1"/>
      <protection/>
    </xf>
    <xf numFmtId="0" fontId="21" fillId="0" borderId="21" xfId="129" applyNumberFormat="1" applyFont="1" applyFill="1" applyBorder="1" applyAlignment="1">
      <alignment horizontal="center" vertical="center" wrapText="1"/>
      <protection/>
    </xf>
    <xf numFmtId="0" fontId="21" fillId="0" borderId="34" xfId="145" applyNumberFormat="1" applyFont="1" applyFill="1" applyBorder="1" applyAlignment="1" applyProtection="1">
      <alignment horizontal="center" vertical="center" wrapText="1"/>
      <protection/>
    </xf>
    <xf numFmtId="0" fontId="21" fillId="0" borderId="26" xfId="145" applyNumberFormat="1" applyFont="1" applyFill="1" applyBorder="1" applyAlignment="1" applyProtection="1">
      <alignment horizontal="center" vertical="center" wrapText="1"/>
      <protection/>
    </xf>
    <xf numFmtId="0" fontId="21" fillId="0" borderId="29" xfId="145" applyNumberFormat="1" applyFont="1" applyFill="1" applyBorder="1" applyAlignment="1" applyProtection="1">
      <alignment horizontal="center" vertical="center" wrapText="1"/>
      <protection/>
    </xf>
    <xf numFmtId="0" fontId="21" fillId="0" borderId="16" xfId="145" applyNumberFormat="1" applyFont="1" applyFill="1" applyBorder="1" applyAlignment="1" applyProtection="1">
      <alignment horizontal="center" vertical="center" wrapText="1"/>
      <protection/>
    </xf>
    <xf numFmtId="0" fontId="32" fillId="0" borderId="29" xfId="145" applyNumberFormat="1" applyFont="1" applyFill="1" applyBorder="1" applyAlignment="1" applyProtection="1">
      <alignment horizontal="center" vertical="center" wrapText="1"/>
      <protection/>
    </xf>
    <xf numFmtId="0" fontId="32" fillId="0" borderId="16" xfId="145" applyNumberFormat="1" applyFont="1" applyFill="1" applyBorder="1" applyAlignment="1" applyProtection="1">
      <alignment horizontal="center" vertical="center" wrapText="1"/>
      <protection/>
    </xf>
    <xf numFmtId="0" fontId="21" fillId="0" borderId="45" xfId="145" applyNumberFormat="1" applyFont="1" applyFill="1" applyBorder="1" applyAlignment="1" applyProtection="1">
      <alignment horizontal="center" vertical="center"/>
      <protection/>
    </xf>
    <xf numFmtId="0" fontId="21" fillId="0" borderId="32" xfId="129" applyNumberFormat="1" applyFont="1" applyFill="1" applyBorder="1" applyAlignment="1">
      <alignment horizontal="center" vertical="center" wrapText="1"/>
      <protection/>
    </xf>
    <xf numFmtId="0" fontId="21" fillId="0" borderId="44" xfId="145" applyNumberFormat="1" applyFont="1" applyFill="1" applyBorder="1" applyAlignment="1" applyProtection="1">
      <alignment horizontal="center" vertical="center"/>
      <protection/>
    </xf>
    <xf numFmtId="0" fontId="21" fillId="0" borderId="25" xfId="145" applyNumberFormat="1" applyFont="1" applyFill="1" applyBorder="1" applyAlignment="1" applyProtection="1">
      <alignment horizontal="center" vertical="center" wrapText="1"/>
      <protection/>
    </xf>
    <xf numFmtId="0" fontId="21" fillId="0" borderId="0" xfId="145" applyNumberFormat="1" applyFont="1" applyFill="1" applyBorder="1" applyAlignment="1" applyProtection="1">
      <alignment horizontal="center" vertical="center" wrapText="1"/>
      <protection/>
    </xf>
    <xf numFmtId="0" fontId="21" fillId="0" borderId="42" xfId="145" applyNumberFormat="1" applyFont="1" applyFill="1" applyBorder="1" applyAlignment="1" applyProtection="1">
      <alignment horizontal="center" vertical="center" wrapText="1"/>
      <protection/>
    </xf>
    <xf numFmtId="0" fontId="21" fillId="0" borderId="14" xfId="145" applyNumberFormat="1" applyFont="1" applyFill="1" applyBorder="1" applyAlignment="1" applyProtection="1">
      <alignment horizontal="center" vertical="center" wrapText="1"/>
      <protection/>
    </xf>
    <xf numFmtId="0" fontId="21" fillId="0" borderId="13" xfId="145" applyNumberFormat="1" applyFont="1" applyFill="1" applyBorder="1" applyAlignment="1" applyProtection="1">
      <alignment horizontal="center" vertical="center" wrapText="1"/>
      <protection/>
    </xf>
    <xf numFmtId="0" fontId="21" fillId="0" borderId="32" xfId="127" applyNumberFormat="1" applyFont="1" applyFill="1" applyBorder="1" applyAlignment="1">
      <alignment horizontal="center" vertical="center" wrapText="1"/>
      <protection/>
    </xf>
    <xf numFmtId="0" fontId="21" fillId="0" borderId="12" xfId="127" applyNumberFormat="1" applyFont="1" applyFill="1" applyBorder="1" applyAlignment="1">
      <alignment horizontal="center" vertical="center" wrapText="1"/>
      <protection/>
    </xf>
    <xf numFmtId="0" fontId="21" fillId="0" borderId="24" xfId="127" applyNumberFormat="1" applyFont="1" applyFill="1" applyBorder="1" applyAlignment="1">
      <alignment horizontal="center" vertical="center"/>
      <protection/>
    </xf>
    <xf numFmtId="0" fontId="21" fillId="0" borderId="22" xfId="127" applyNumberFormat="1" applyFont="1" applyFill="1" applyBorder="1" applyAlignment="1">
      <alignment horizontal="center" vertical="center"/>
      <protection/>
    </xf>
    <xf numFmtId="0" fontId="21" fillId="0" borderId="13" xfId="127" applyNumberFormat="1" applyFont="1" applyFill="1" applyBorder="1" applyAlignment="1">
      <alignment horizontal="center" vertical="center" wrapText="1"/>
      <protection/>
    </xf>
    <xf numFmtId="0" fontId="21" fillId="0" borderId="29" xfId="127" applyNumberFormat="1" applyFont="1" applyFill="1" applyBorder="1" applyAlignment="1">
      <alignment horizontal="center" vertical="center" wrapText="1"/>
      <protection/>
    </xf>
    <xf numFmtId="0" fontId="21" fillId="0" borderId="21" xfId="127" applyNumberFormat="1" applyFont="1" applyFill="1" applyBorder="1" applyAlignment="1">
      <alignment horizontal="center" vertical="center" wrapText="1"/>
      <protection/>
    </xf>
    <xf numFmtId="0" fontId="21" fillId="0" borderId="16" xfId="127" applyNumberFormat="1" applyFont="1" applyFill="1" applyBorder="1" applyAlignment="1">
      <alignment horizontal="center" vertical="center" wrapText="1"/>
      <protection/>
    </xf>
    <xf numFmtId="0" fontId="32" fillId="0" borderId="29" xfId="127" applyNumberFormat="1" applyFont="1" applyFill="1" applyBorder="1" applyAlignment="1">
      <alignment horizontal="center" vertical="center" wrapText="1"/>
      <protection/>
    </xf>
    <xf numFmtId="0" fontId="32" fillId="0" borderId="16" xfId="127" applyNumberFormat="1" applyFont="1" applyFill="1" applyBorder="1" applyAlignment="1">
      <alignment horizontal="center" vertical="center" wrapText="1"/>
      <protection/>
    </xf>
    <xf numFmtId="0" fontId="32" fillId="0" borderId="30" xfId="145" applyNumberFormat="1" applyFont="1" applyFill="1" applyBorder="1" applyAlignment="1" applyProtection="1">
      <alignment horizontal="center" vertical="center" wrapText="1"/>
      <protection/>
    </xf>
    <xf numFmtId="0" fontId="32" fillId="0" borderId="14" xfId="145" applyNumberFormat="1" applyFont="1" applyFill="1" applyBorder="1" applyAlignment="1" applyProtection="1">
      <alignment horizontal="center" vertical="center" wrapText="1"/>
      <protection/>
    </xf>
    <xf numFmtId="0" fontId="21" fillId="0" borderId="19" xfId="145" applyNumberFormat="1" applyFont="1" applyFill="1" applyBorder="1" applyAlignment="1" applyProtection="1">
      <alignment horizontal="center" vertical="center" wrapText="1"/>
      <protection/>
    </xf>
    <xf numFmtId="0" fontId="21" fillId="0" borderId="23" xfId="127" applyNumberFormat="1" applyFont="1" applyBorder="1" applyAlignment="1">
      <alignment horizontal="center" vertical="center" wrapText="1"/>
      <protection/>
    </xf>
    <xf numFmtId="0" fontId="21" fillId="0" borderId="2" xfId="127" applyNumberFormat="1" applyFont="1" applyBorder="1" applyAlignment="1">
      <alignment horizontal="center" vertical="center" wrapText="1"/>
      <protection/>
    </xf>
    <xf numFmtId="0" fontId="21" fillId="0" borderId="0" xfId="127" applyNumberFormat="1" applyFont="1" applyBorder="1" applyAlignment="1">
      <alignment horizontal="center" vertical="center" wrapText="1"/>
      <protection/>
    </xf>
    <xf numFmtId="0" fontId="21" fillId="0" borderId="12" xfId="127" applyNumberFormat="1" applyFont="1" applyBorder="1" applyAlignment="1">
      <alignment horizontal="center" vertical="center" wrapText="1"/>
      <protection/>
    </xf>
    <xf numFmtId="0" fontId="21" fillId="0" borderId="21" xfId="127" applyNumberFormat="1" applyFont="1" applyBorder="1" applyAlignment="1">
      <alignment horizontal="center" vertical="center" wrapText="1"/>
      <protection/>
    </xf>
    <xf numFmtId="0" fontId="30" fillId="0" borderId="0" xfId="0" applyNumberFormat="1" applyFont="1" applyAlignment="1">
      <alignment horizontal="center" vertical="center" wrapText="1"/>
    </xf>
    <xf numFmtId="0" fontId="21" fillId="0" borderId="0" xfId="0" applyNumberFormat="1" applyFont="1" applyAlignment="1">
      <alignment horizontal="center" vertical="center"/>
    </xf>
    <xf numFmtId="0" fontId="21" fillId="0" borderId="32" xfId="127" applyNumberFormat="1" applyFont="1" applyBorder="1" applyAlignment="1">
      <alignment horizontal="center" vertical="center" wrapText="1"/>
      <protection/>
    </xf>
    <xf numFmtId="0" fontId="21" fillId="0" borderId="24" xfId="127" applyNumberFormat="1" applyFont="1" applyBorder="1" applyAlignment="1">
      <alignment horizontal="center" vertical="center" wrapText="1"/>
      <protection/>
    </xf>
    <xf numFmtId="0" fontId="21" fillId="0" borderId="22" xfId="127" applyNumberFormat="1" applyFont="1" applyBorder="1" applyAlignment="1">
      <alignment horizontal="center" vertical="center" wrapText="1"/>
      <protection/>
    </xf>
    <xf numFmtId="0" fontId="21" fillId="0" borderId="36" xfId="127" applyNumberFormat="1" applyFont="1" applyBorder="1" applyAlignment="1">
      <alignment horizontal="center" vertical="center" wrapText="1"/>
      <protection/>
    </xf>
    <xf numFmtId="0" fontId="21" fillId="0" borderId="35" xfId="127" applyNumberFormat="1" applyFont="1" applyBorder="1" applyAlignment="1">
      <alignment horizontal="center" vertical="center" wrapText="1"/>
      <protection/>
    </xf>
    <xf numFmtId="0" fontId="21" fillId="0" borderId="17" xfId="127" applyNumberFormat="1" applyFont="1" applyBorder="1" applyAlignment="1">
      <alignment horizontal="center" vertical="center" wrapText="1"/>
      <protection/>
    </xf>
    <xf numFmtId="0" fontId="21" fillId="0" borderId="0" xfId="129" applyNumberFormat="1" applyFont="1" applyFill="1" applyAlignment="1">
      <alignment horizontal="left" vertical="center" wrapText="1"/>
      <protection/>
    </xf>
    <xf numFmtId="0" fontId="21" fillId="0" borderId="45" xfId="129" applyNumberFormat="1" applyFont="1" applyFill="1" applyBorder="1" applyAlignment="1">
      <alignment horizontal="left" vertical="center"/>
      <protection/>
    </xf>
    <xf numFmtId="0" fontId="21" fillId="0" borderId="46" xfId="129" applyNumberFormat="1" applyFont="1" applyFill="1" applyBorder="1" applyAlignment="1">
      <alignment horizontal="left" vertical="center"/>
      <protection/>
    </xf>
    <xf numFmtId="0" fontId="21" fillId="0" borderId="35" xfId="0" applyNumberFormat="1" applyFont="1" applyFill="1" applyBorder="1" applyAlignment="1">
      <alignment horizontal="center" vertical="center"/>
    </xf>
    <xf numFmtId="212" fontId="21" fillId="0" borderId="0" xfId="129" applyNumberFormat="1" applyFont="1" applyFill="1" applyBorder="1" applyAlignment="1">
      <alignment horizontal="center"/>
      <protection/>
    </xf>
    <xf numFmtId="212" fontId="21" fillId="0" borderId="0" xfId="0" applyNumberFormat="1" applyFont="1" applyFill="1" applyBorder="1" applyAlignment="1">
      <alignment horizontal="center"/>
    </xf>
    <xf numFmtId="0" fontId="21" fillId="0" borderId="34" xfId="0" applyFont="1" applyBorder="1" applyAlignment="1">
      <alignment horizontal="center" vertical="center" wrapText="1"/>
    </xf>
    <xf numFmtId="0" fontId="21" fillId="0" borderId="34" xfId="0" applyFont="1" applyBorder="1" applyAlignment="1">
      <alignment horizontal="center" vertical="center"/>
    </xf>
    <xf numFmtId="0" fontId="21" fillId="0" borderId="26"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30" fillId="0" borderId="0" xfId="129" applyFont="1" applyAlignment="1">
      <alignment horizontal="center" vertical="center"/>
      <protection/>
    </xf>
    <xf numFmtId="0" fontId="21" fillId="0" borderId="32" xfId="129" applyFont="1" applyBorder="1" applyAlignment="1">
      <alignment horizontal="center" vertical="center"/>
      <protection/>
    </xf>
    <xf numFmtId="0" fontId="21" fillId="0" borderId="12" xfId="129" applyFont="1" applyBorder="1" applyAlignment="1">
      <alignment horizontal="center" vertical="center"/>
      <protection/>
    </xf>
    <xf numFmtId="0" fontId="21" fillId="0" borderId="50" xfId="0" applyFont="1" applyBorder="1" applyAlignment="1">
      <alignment horizontal="center" vertical="center" wrapText="1"/>
    </xf>
    <xf numFmtId="0" fontId="21" fillId="0" borderId="37" xfId="0" applyFont="1" applyBorder="1" applyAlignment="1">
      <alignment horizontal="center" vertical="center"/>
    </xf>
    <xf numFmtId="0" fontId="21" fillId="0" borderId="45" xfId="0" applyFont="1" applyBorder="1" applyAlignment="1">
      <alignment horizontal="center" vertical="center"/>
    </xf>
    <xf numFmtId="0" fontId="21" fillId="0" borderId="3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43" xfId="0" applyFont="1" applyBorder="1" applyAlignment="1">
      <alignment horizontal="center" vertical="center"/>
    </xf>
    <xf numFmtId="0" fontId="21" fillId="0" borderId="12" xfId="129" applyFont="1" applyBorder="1" applyAlignment="1">
      <alignment horizontal="center" vertical="center" wrapText="1"/>
      <protection/>
    </xf>
    <xf numFmtId="0" fontId="21" fillId="0" borderId="21" xfId="129" applyFont="1" applyBorder="1" applyAlignment="1">
      <alignment horizontal="center" vertical="center" wrapText="1"/>
      <protection/>
    </xf>
    <xf numFmtId="0" fontId="21" fillId="0" borderId="16" xfId="0" applyNumberFormat="1" applyFont="1" applyBorder="1" applyAlignment="1">
      <alignment horizontal="center" vertical="center" wrapText="1"/>
    </xf>
    <xf numFmtId="0" fontId="21" fillId="0" borderId="44" xfId="0" applyNumberFormat="1" applyFont="1" applyBorder="1" applyAlignment="1">
      <alignment horizontal="center" vertical="center"/>
    </xf>
    <xf numFmtId="0" fontId="21" fillId="0" borderId="45" xfId="0" applyNumberFormat="1" applyFont="1" applyBorder="1" applyAlignment="1">
      <alignment horizontal="center" vertical="center"/>
    </xf>
    <xf numFmtId="0" fontId="21" fillId="0" borderId="40" xfId="129" applyNumberFormat="1" applyFont="1" applyBorder="1" applyAlignment="1">
      <alignment horizontal="center" vertical="center"/>
      <protection/>
    </xf>
    <xf numFmtId="0" fontId="21" fillId="0" borderId="44" xfId="129" applyNumberFormat="1" applyFont="1" applyBorder="1" applyAlignment="1">
      <alignment horizontal="center" vertical="center"/>
      <protection/>
    </xf>
    <xf numFmtId="0" fontId="21" fillId="0" borderId="53" xfId="129" applyNumberFormat="1" applyFont="1" applyBorder="1" applyAlignment="1">
      <alignment horizontal="center" vertical="center"/>
      <protection/>
    </xf>
    <xf numFmtId="0" fontId="21" fillId="0" borderId="28" xfId="129" applyNumberFormat="1" applyFont="1" applyBorder="1" applyAlignment="1">
      <alignment horizontal="center" vertical="center"/>
      <protection/>
    </xf>
    <xf numFmtId="0" fontId="21" fillId="0" borderId="52" xfId="129" applyNumberFormat="1" applyFont="1" applyBorder="1" applyAlignment="1">
      <alignment horizontal="center" vertical="center"/>
      <protection/>
    </xf>
  </cellXfs>
  <cellStyles count="255">
    <cellStyle name="Normal" xfId="0"/>
    <cellStyle name="20% - 輔色1" xfId="15"/>
    <cellStyle name="20% - 輔色1 2" xfId="16"/>
    <cellStyle name="20% - 輔色1 3" xfId="17"/>
    <cellStyle name="20% - 輔色1 4" xfId="18"/>
    <cellStyle name="20% - 輔色1 5" xfId="19"/>
    <cellStyle name="20% - 輔色2" xfId="20"/>
    <cellStyle name="20% - 輔色2 2" xfId="21"/>
    <cellStyle name="20% - 輔色2 3" xfId="22"/>
    <cellStyle name="20% - 輔色2 4" xfId="23"/>
    <cellStyle name="20% - 輔色2 5" xfId="24"/>
    <cellStyle name="20% - 輔色3" xfId="25"/>
    <cellStyle name="20% - 輔色3 2" xfId="26"/>
    <cellStyle name="20% - 輔色3 3" xfId="27"/>
    <cellStyle name="20% - 輔色3 4" xfId="28"/>
    <cellStyle name="20% - 輔色3 5" xfId="29"/>
    <cellStyle name="20% - 輔色4" xfId="30"/>
    <cellStyle name="20% - 輔色4 2" xfId="31"/>
    <cellStyle name="20% - 輔色4 3" xfId="32"/>
    <cellStyle name="20% - 輔色4 4" xfId="33"/>
    <cellStyle name="20% - 輔色4 5" xfId="34"/>
    <cellStyle name="20% - 輔色5" xfId="35"/>
    <cellStyle name="20% - 輔色5 2" xfId="36"/>
    <cellStyle name="20% - 輔色5 3" xfId="37"/>
    <cellStyle name="20% - 輔色5 4" xfId="38"/>
    <cellStyle name="20% - 輔色5 5" xfId="39"/>
    <cellStyle name="20% - 輔色6" xfId="40"/>
    <cellStyle name="20% - 輔色6 2" xfId="41"/>
    <cellStyle name="20% - 輔色6 3" xfId="42"/>
    <cellStyle name="20% - 輔色6 4" xfId="43"/>
    <cellStyle name="20% - 輔色6 5" xfId="44"/>
    <cellStyle name="40% - 輔色1" xfId="45"/>
    <cellStyle name="40% - 輔色1 2" xfId="46"/>
    <cellStyle name="40% - 輔色1 3" xfId="47"/>
    <cellStyle name="40% - 輔色1 4" xfId="48"/>
    <cellStyle name="40% - 輔色1 5" xfId="49"/>
    <cellStyle name="40% - 輔色2" xfId="50"/>
    <cellStyle name="40% - 輔色2 2" xfId="51"/>
    <cellStyle name="40% - 輔色2 3" xfId="52"/>
    <cellStyle name="40% - 輔色2 4" xfId="53"/>
    <cellStyle name="40% - 輔色2 5" xfId="54"/>
    <cellStyle name="40% - 輔色3" xfId="55"/>
    <cellStyle name="40% - 輔色3 2" xfId="56"/>
    <cellStyle name="40% - 輔色3 3" xfId="57"/>
    <cellStyle name="40% - 輔色3 4" xfId="58"/>
    <cellStyle name="40% - 輔色3 5" xfId="59"/>
    <cellStyle name="40% - 輔色4" xfId="60"/>
    <cellStyle name="40% - 輔色4 2" xfId="61"/>
    <cellStyle name="40% - 輔色4 3" xfId="62"/>
    <cellStyle name="40% - 輔色4 4" xfId="63"/>
    <cellStyle name="40% - 輔色4 5" xfId="64"/>
    <cellStyle name="40% - 輔色5" xfId="65"/>
    <cellStyle name="40% - 輔色5 2" xfId="66"/>
    <cellStyle name="40% - 輔色5 3" xfId="67"/>
    <cellStyle name="40% - 輔色5 4" xfId="68"/>
    <cellStyle name="40% - 輔色5 5" xfId="69"/>
    <cellStyle name="40% - 輔色6" xfId="70"/>
    <cellStyle name="40% - 輔色6 2" xfId="71"/>
    <cellStyle name="40% - 輔色6 3" xfId="72"/>
    <cellStyle name="40% - 輔色6 4" xfId="73"/>
    <cellStyle name="40% - 輔色6 5" xfId="74"/>
    <cellStyle name="60% - 輔色1" xfId="75"/>
    <cellStyle name="60% - 輔色1 2" xfId="76"/>
    <cellStyle name="60% - 輔色1 3" xfId="77"/>
    <cellStyle name="60% - 輔色1 4" xfId="78"/>
    <cellStyle name="60% - 輔色1 5" xfId="79"/>
    <cellStyle name="60% - 輔色2" xfId="80"/>
    <cellStyle name="60% - 輔色2 2" xfId="81"/>
    <cellStyle name="60% - 輔色2 3" xfId="82"/>
    <cellStyle name="60% - 輔色2 4" xfId="83"/>
    <cellStyle name="60% - 輔色2 5" xfId="84"/>
    <cellStyle name="60% - 輔色3" xfId="85"/>
    <cellStyle name="60% - 輔色3 2" xfId="86"/>
    <cellStyle name="60% - 輔色3 3" xfId="87"/>
    <cellStyle name="60% - 輔色3 4" xfId="88"/>
    <cellStyle name="60% - 輔色3 5" xfId="89"/>
    <cellStyle name="60% - 輔色4" xfId="90"/>
    <cellStyle name="60% - 輔色4 2" xfId="91"/>
    <cellStyle name="60% - 輔色4 3" xfId="92"/>
    <cellStyle name="60% - 輔色4 4" xfId="93"/>
    <cellStyle name="60% - 輔色4 5" xfId="94"/>
    <cellStyle name="60% - 輔色5" xfId="95"/>
    <cellStyle name="60% - 輔色5 2" xfId="96"/>
    <cellStyle name="60% - 輔色5 3" xfId="97"/>
    <cellStyle name="60% - 輔色5 4" xfId="98"/>
    <cellStyle name="60% - 輔色5 5" xfId="99"/>
    <cellStyle name="60% - 輔色6" xfId="100"/>
    <cellStyle name="60% - 輔色6 2" xfId="101"/>
    <cellStyle name="60% - 輔色6 3" xfId="102"/>
    <cellStyle name="60% - 輔色6 4" xfId="103"/>
    <cellStyle name="60% - 輔色6 5" xfId="104"/>
    <cellStyle name="sample" xfId="105"/>
    <cellStyle name="一般 10" xfId="106"/>
    <cellStyle name="一般 11" xfId="107"/>
    <cellStyle name="一般 12" xfId="108"/>
    <cellStyle name="一般 13" xfId="109"/>
    <cellStyle name="一般 14" xfId="110"/>
    <cellStyle name="一般 15" xfId="111"/>
    <cellStyle name="一般 16" xfId="112"/>
    <cellStyle name="一般 2" xfId="113"/>
    <cellStyle name="一般 2 2" xfId="114"/>
    <cellStyle name="一般 2 3" xfId="115"/>
    <cellStyle name="一般 3" xfId="116"/>
    <cellStyle name="一般 3 2" xfId="117"/>
    <cellStyle name="一般 4" xfId="118"/>
    <cellStyle name="一般 4 2" xfId="119"/>
    <cellStyle name="一般 5" xfId="120"/>
    <cellStyle name="一般 6" xfId="121"/>
    <cellStyle name="一般 6 2" xfId="122"/>
    <cellStyle name="一般 7" xfId="123"/>
    <cellStyle name="一般 7 2" xfId="124"/>
    <cellStyle name="一般 8" xfId="125"/>
    <cellStyle name="一般 8 2" xfId="126"/>
    <cellStyle name="一般 9" xfId="127"/>
    <cellStyle name="一般_011-98年人民團體數及宗教概況(1)" xfId="128"/>
    <cellStyle name="一般_011-99年社會福利(琴惠)" xfId="129"/>
    <cellStyle name="一般_11-2宗教教務概況" xfId="130"/>
    <cellStyle name="一般_Book2" xfId="131"/>
    <cellStyle name="一般_Sheet1" xfId="132"/>
    <cellStyle name="一般_Sheet6" xfId="133"/>
    <cellStyle name="一般_Sheet7" xfId="134"/>
    <cellStyle name="一般_合作社概況" xfId="135"/>
    <cellStyle name="一般_宗教等-97年資料11-1至11-3" xfId="136"/>
    <cellStyle name="Comma" xfId="137"/>
    <cellStyle name="千分位 2" xfId="138"/>
    <cellStyle name="千分位 2 2" xfId="139"/>
    <cellStyle name="千分位 3" xfId="140"/>
    <cellStyle name="千分位 4" xfId="141"/>
    <cellStyle name="Comma [0]" xfId="142"/>
    <cellStyle name="千分位[0] 2" xfId="143"/>
    <cellStyle name="千分位[0] 2 2" xfId="144"/>
    <cellStyle name="千分位[0] 3" xfId="145"/>
    <cellStyle name="千分位[0] 4" xfId="146"/>
    <cellStyle name="千分位[0] 5" xfId="147"/>
    <cellStyle name="Followed Hyperlink" xfId="148"/>
    <cellStyle name="中等" xfId="149"/>
    <cellStyle name="中等 2" xfId="150"/>
    <cellStyle name="中等 3" xfId="151"/>
    <cellStyle name="中等 4" xfId="152"/>
    <cellStyle name="中等 5" xfId="153"/>
    <cellStyle name="合計" xfId="154"/>
    <cellStyle name="合計 2" xfId="155"/>
    <cellStyle name="合計 3" xfId="156"/>
    <cellStyle name="合計 4" xfId="157"/>
    <cellStyle name="合計 5" xfId="158"/>
    <cellStyle name="好" xfId="159"/>
    <cellStyle name="好 2" xfId="160"/>
    <cellStyle name="好 3" xfId="161"/>
    <cellStyle name="好 4" xfId="162"/>
    <cellStyle name="好 5" xfId="163"/>
    <cellStyle name="年資料" xfId="164"/>
    <cellStyle name="Percent" xfId="165"/>
    <cellStyle name="計算方式" xfId="166"/>
    <cellStyle name="計算方式 2" xfId="167"/>
    <cellStyle name="計算方式 3" xfId="168"/>
    <cellStyle name="計算方式 4" xfId="169"/>
    <cellStyle name="計算方式 5" xfId="170"/>
    <cellStyle name="Currency" xfId="171"/>
    <cellStyle name="Currency [0]" xfId="172"/>
    <cellStyle name="連結的儲存格" xfId="173"/>
    <cellStyle name="連結的儲存格 2" xfId="174"/>
    <cellStyle name="連結的儲存格 3" xfId="175"/>
    <cellStyle name="連結的儲存格 4" xfId="176"/>
    <cellStyle name="連結的儲存格 5" xfId="177"/>
    <cellStyle name="備註" xfId="178"/>
    <cellStyle name="備註 2" xfId="179"/>
    <cellStyle name="備註 3" xfId="180"/>
    <cellStyle name="備註 4" xfId="181"/>
    <cellStyle name="備註 5" xfId="182"/>
    <cellStyle name="Hyperlink" xfId="183"/>
    <cellStyle name="說明文字" xfId="184"/>
    <cellStyle name="說明文字 2" xfId="185"/>
    <cellStyle name="說明文字 3" xfId="186"/>
    <cellStyle name="說明文字 4" xfId="187"/>
    <cellStyle name="說明文字 5" xfId="188"/>
    <cellStyle name="輔色1" xfId="189"/>
    <cellStyle name="輔色1 2" xfId="190"/>
    <cellStyle name="輔色1 3" xfId="191"/>
    <cellStyle name="輔色1 4" xfId="192"/>
    <cellStyle name="輔色1 5" xfId="193"/>
    <cellStyle name="輔色2" xfId="194"/>
    <cellStyle name="輔色2 2" xfId="195"/>
    <cellStyle name="輔色2 3" xfId="196"/>
    <cellStyle name="輔色2 4" xfId="197"/>
    <cellStyle name="輔色2 5" xfId="198"/>
    <cellStyle name="輔色3" xfId="199"/>
    <cellStyle name="輔色3 2" xfId="200"/>
    <cellStyle name="輔色3 3" xfId="201"/>
    <cellStyle name="輔色3 4" xfId="202"/>
    <cellStyle name="輔色3 5" xfId="203"/>
    <cellStyle name="輔色4" xfId="204"/>
    <cellStyle name="輔色4 2" xfId="205"/>
    <cellStyle name="輔色4 3" xfId="206"/>
    <cellStyle name="輔色4 4" xfId="207"/>
    <cellStyle name="輔色4 5" xfId="208"/>
    <cellStyle name="輔色5" xfId="209"/>
    <cellStyle name="輔色5 2" xfId="210"/>
    <cellStyle name="輔色5 3" xfId="211"/>
    <cellStyle name="輔色5 4" xfId="212"/>
    <cellStyle name="輔色5 5" xfId="213"/>
    <cellStyle name="輔色6" xfId="214"/>
    <cellStyle name="輔色6 2" xfId="215"/>
    <cellStyle name="輔色6 3" xfId="216"/>
    <cellStyle name="輔色6 4" xfId="217"/>
    <cellStyle name="輔色6 5" xfId="218"/>
    <cellStyle name="標題" xfId="219"/>
    <cellStyle name="標題 1" xfId="220"/>
    <cellStyle name="標題 1 2" xfId="221"/>
    <cellStyle name="標題 1 3" xfId="222"/>
    <cellStyle name="標題 1 4" xfId="223"/>
    <cellStyle name="標題 1 5" xfId="224"/>
    <cellStyle name="標題 2" xfId="225"/>
    <cellStyle name="標題 2 2" xfId="226"/>
    <cellStyle name="標題 2 3" xfId="227"/>
    <cellStyle name="標題 2 4" xfId="228"/>
    <cellStyle name="標題 2 5" xfId="229"/>
    <cellStyle name="標題 3" xfId="230"/>
    <cellStyle name="標題 3 2" xfId="231"/>
    <cellStyle name="標題 3 3" xfId="232"/>
    <cellStyle name="標題 3 4" xfId="233"/>
    <cellStyle name="標題 3 5" xfId="234"/>
    <cellStyle name="標題 4" xfId="235"/>
    <cellStyle name="標題 4 2" xfId="236"/>
    <cellStyle name="標題 4 3" xfId="237"/>
    <cellStyle name="標題 4 4" xfId="238"/>
    <cellStyle name="標題 4 5" xfId="239"/>
    <cellStyle name="標題 5" xfId="240"/>
    <cellStyle name="標題 6" xfId="241"/>
    <cellStyle name="標題 7" xfId="242"/>
    <cellStyle name="標題 8" xfId="243"/>
    <cellStyle name="輸入" xfId="244"/>
    <cellStyle name="輸入 2" xfId="245"/>
    <cellStyle name="輸入 3" xfId="246"/>
    <cellStyle name="輸入 4" xfId="247"/>
    <cellStyle name="輸入 5" xfId="248"/>
    <cellStyle name="輸出" xfId="249"/>
    <cellStyle name="輸出 2" xfId="250"/>
    <cellStyle name="輸出 3" xfId="251"/>
    <cellStyle name="輸出 4" xfId="252"/>
    <cellStyle name="輸出 5" xfId="253"/>
    <cellStyle name="檢查儲存格" xfId="254"/>
    <cellStyle name="檢查儲存格 2" xfId="255"/>
    <cellStyle name="檢查儲存格 3" xfId="256"/>
    <cellStyle name="檢查儲存格 4" xfId="257"/>
    <cellStyle name="檢查儲存格 5" xfId="258"/>
    <cellStyle name="壞" xfId="259"/>
    <cellStyle name="壞 2" xfId="260"/>
    <cellStyle name="壞 3" xfId="261"/>
    <cellStyle name="壞 4" xfId="262"/>
    <cellStyle name="壞 5" xfId="263"/>
    <cellStyle name="警告文字" xfId="264"/>
    <cellStyle name="警告文字 2" xfId="265"/>
    <cellStyle name="警告文字 3" xfId="266"/>
    <cellStyle name="警告文字 4" xfId="267"/>
    <cellStyle name="警告文字 5" xfId="268"/>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017515\AppData\Local\Microsoft\Windows\Temporary%20Internet%20Files\Content.Outlook\KA7TV8UW\&#23458;&#25142;&#27284;&#26696;\&#21443;&#32771;&#36039;&#26009;\11\11-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75040\Desktop\&#23458;&#25142;&#27284;&#26696;\&#21443;&#32771;&#36039;&#26009;\11\11-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662\A.&#19978;&#32178;&#27511;&#26376;&#36039;&#26009;&#24235;\&#36899;&#32080;&#34920;\100&#24180;&#24460;(&#25913;&#21046;&#24460;)\&#35079;&#26412;%2001-&#36899;&#32080;&#34920;(ne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11-105-&#31038;&#26371;&#31119;&#21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sheetName val="2012"/>
      <sheetName val="2011"/>
      <sheetName val="2010"/>
      <sheetName val="2009"/>
      <sheetName val="2008"/>
      <sheetName val="2007"/>
      <sheetName val="2006"/>
      <sheetName val="2005"/>
      <sheetName val=" 2004"/>
      <sheetName val=" 2003"/>
      <sheetName val=" 2002"/>
      <sheetName val="2001"/>
      <sheetName val="2000"/>
      <sheetName val="19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2012"/>
      <sheetName val="2011"/>
      <sheetName val="2010"/>
      <sheetName val="2009"/>
      <sheetName val="2008"/>
      <sheetName val="2007"/>
      <sheetName val="2006"/>
      <sheetName val="2005"/>
      <sheetName val=" 2004"/>
      <sheetName val=" 2003"/>
      <sheetName val=" 2002"/>
      <sheetName val="2001"/>
      <sheetName val="2000"/>
      <sheetName val="199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CRPC160"/>
      <sheetName val="05"/>
      <sheetName val="08"/>
      <sheetName val="09"/>
    </sheetNames>
    <sheetDataSet>
      <sheetData sheetId="0">
        <row r="17">
          <cell r="G17">
            <v>770894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顏色標籤代表"/>
      <sheetName val="11-1"/>
      <sheetName val="11-2"/>
      <sheetName val="11-3"/>
      <sheetName val="11-3 續1"/>
      <sheetName val="11-4"/>
      <sheetName val="11-5"/>
      <sheetName val="11-6"/>
      <sheetName val="11-6 續1"/>
      <sheetName val="11-6 續2完"/>
      <sheetName val="11-7"/>
      <sheetName val="11-8"/>
      <sheetName val="11-8 續"/>
      <sheetName val="11-9"/>
      <sheetName val="11-10"/>
      <sheetName val="11-10續"/>
      <sheetName val="11-11"/>
      <sheetName val="11-12"/>
      <sheetName val="11-12續"/>
      <sheetName val="11-13"/>
      <sheetName val="11-14"/>
      <sheetName val="11-15"/>
      <sheetName val="11-15續"/>
      <sheetName val="11-16"/>
      <sheetName val="11-17"/>
      <sheetName val="11-18"/>
      <sheetName val="11-18續"/>
      <sheetName val="11-19"/>
      <sheetName val="11-20"/>
      <sheetName val="11-20 續1"/>
      <sheetName val="11-20續2"/>
      <sheetName val="11-20續3完"/>
      <sheetName val="11-21"/>
      <sheetName val="11-22"/>
      <sheetName val="11-22續"/>
    </sheetNames>
    <sheetDataSet>
      <sheetData sheetId="34">
        <row r="19">
          <cell r="B19">
            <v>3389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0.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1.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3.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4.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5.vml" /><Relationship Id="rId3"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8"/>
  <sheetViews>
    <sheetView showGridLines="0" view="pageBreakPreview" zoomScale="55" zoomScaleNormal="120" zoomScaleSheetLayoutView="55" zoomScalePageLayoutView="0" workbookViewId="0" topLeftCell="A1">
      <pane xSplit="1" ySplit="7" topLeftCell="B8" activePane="bottomRight" state="frozen"/>
      <selection pane="topLeft" activeCell="J43" sqref="J43"/>
      <selection pane="topRight" activeCell="J43" sqref="J43"/>
      <selection pane="bottomLeft" activeCell="J43" sqref="J43"/>
      <selection pane="bottomRight" activeCell="I2" sqref="I2:Q2"/>
    </sheetView>
  </sheetViews>
  <sheetFormatPr defaultColWidth="9.00390625" defaultRowHeight="16.5"/>
  <cols>
    <col min="1" max="1" width="10.625" style="382" customWidth="1"/>
    <col min="2" max="7" width="10.625" style="2" customWidth="1"/>
    <col min="8" max="8" width="11.125" style="2" customWidth="1"/>
    <col min="9" max="17" width="9.625" style="2" customWidth="1"/>
    <col min="18" max="16384" width="9.00390625" style="2" customWidth="1"/>
  </cols>
  <sheetData>
    <row r="1" spans="1:17" s="382" customFormat="1" ht="18" customHeight="1">
      <c r="A1" s="157" t="s">
        <v>1077</v>
      </c>
      <c r="B1" s="377"/>
      <c r="C1" s="377"/>
      <c r="D1" s="377"/>
      <c r="E1" s="368"/>
      <c r="F1" s="368"/>
      <c r="G1" s="368"/>
      <c r="Q1" s="369" t="s">
        <v>0</v>
      </c>
    </row>
    <row r="2" spans="1:17" s="382" customFormat="1" ht="24.75" customHeight="1">
      <c r="A2" s="568" t="s">
        <v>1190</v>
      </c>
      <c r="B2" s="568"/>
      <c r="C2" s="568"/>
      <c r="D2" s="568"/>
      <c r="E2" s="568"/>
      <c r="F2" s="568"/>
      <c r="G2" s="568"/>
      <c r="H2" s="568"/>
      <c r="I2" s="568" t="s">
        <v>1</v>
      </c>
      <c r="J2" s="568"/>
      <c r="K2" s="568"/>
      <c r="L2" s="568"/>
      <c r="M2" s="568"/>
      <c r="N2" s="568"/>
      <c r="O2" s="568"/>
      <c r="P2" s="568"/>
      <c r="Q2" s="568"/>
    </row>
    <row r="3" spans="1:17" s="382" customFormat="1" ht="15" customHeight="1" thickBot="1">
      <c r="A3" s="378"/>
      <c r="B3" s="378"/>
      <c r="C3" s="378"/>
      <c r="D3" s="378"/>
      <c r="E3" s="377"/>
      <c r="F3" s="383"/>
      <c r="G3" s="383"/>
      <c r="H3" s="190" t="s">
        <v>1191</v>
      </c>
      <c r="P3" s="569" t="s">
        <v>2</v>
      </c>
      <c r="Q3" s="569"/>
    </row>
    <row r="4" spans="1:17" s="382" customFormat="1" ht="19.5" customHeight="1">
      <c r="A4" s="570" t="s">
        <v>458</v>
      </c>
      <c r="B4" s="572" t="s">
        <v>459</v>
      </c>
      <c r="C4" s="573"/>
      <c r="D4" s="573"/>
      <c r="E4" s="573"/>
      <c r="F4" s="573"/>
      <c r="G4" s="573"/>
      <c r="H4" s="574"/>
      <c r="I4" s="575" t="s">
        <v>460</v>
      </c>
      <c r="J4" s="575"/>
      <c r="K4" s="575"/>
      <c r="L4" s="575"/>
      <c r="M4" s="575"/>
      <c r="N4" s="575"/>
      <c r="O4" s="575"/>
      <c r="P4" s="575"/>
      <c r="Q4" s="575"/>
    </row>
    <row r="5" spans="1:17" s="382" customFormat="1" ht="19.5" customHeight="1">
      <c r="A5" s="571"/>
      <c r="B5" s="576" t="s">
        <v>3</v>
      </c>
      <c r="C5" s="577"/>
      <c r="D5" s="577"/>
      <c r="E5" s="577"/>
      <c r="F5" s="577"/>
      <c r="G5" s="577"/>
      <c r="H5" s="578"/>
      <c r="I5" s="579" t="s">
        <v>4</v>
      </c>
      <c r="J5" s="579"/>
      <c r="K5" s="579"/>
      <c r="L5" s="579"/>
      <c r="M5" s="579"/>
      <c r="N5" s="579"/>
      <c r="O5" s="579"/>
      <c r="P5" s="579"/>
      <c r="Q5" s="579"/>
    </row>
    <row r="6" spans="1:17" s="382" customFormat="1" ht="42" customHeight="1">
      <c r="A6" s="571"/>
      <c r="B6" s="384" t="s">
        <v>461</v>
      </c>
      <c r="C6" s="385" t="s">
        <v>462</v>
      </c>
      <c r="D6" s="385" t="s">
        <v>463</v>
      </c>
      <c r="E6" s="385" t="s">
        <v>464</v>
      </c>
      <c r="F6" s="228" t="s">
        <v>465</v>
      </c>
      <c r="G6" s="228" t="s">
        <v>466</v>
      </c>
      <c r="H6" s="230" t="s">
        <v>1291</v>
      </c>
      <c r="I6" s="224" t="s">
        <v>467</v>
      </c>
      <c r="J6" s="230" t="s">
        <v>468</v>
      </c>
      <c r="K6" s="230" t="s">
        <v>469</v>
      </c>
      <c r="L6" s="230" t="s">
        <v>470</v>
      </c>
      <c r="M6" s="230" t="s">
        <v>471</v>
      </c>
      <c r="N6" s="230" t="s">
        <v>472</v>
      </c>
      <c r="O6" s="230" t="s">
        <v>473</v>
      </c>
      <c r="P6" s="230" t="s">
        <v>1292</v>
      </c>
      <c r="Q6" s="225" t="s">
        <v>474</v>
      </c>
    </row>
    <row r="7" spans="1:17" s="382" customFormat="1" ht="49.5" customHeight="1" thickBot="1">
      <c r="A7" s="380" t="s">
        <v>5</v>
      </c>
      <c r="B7" s="386" t="s">
        <v>6</v>
      </c>
      <c r="C7" s="387" t="s">
        <v>7</v>
      </c>
      <c r="D7" s="387" t="s">
        <v>8</v>
      </c>
      <c r="E7" s="387" t="s">
        <v>9</v>
      </c>
      <c r="F7" s="387" t="s">
        <v>10</v>
      </c>
      <c r="G7" s="387" t="s">
        <v>11</v>
      </c>
      <c r="H7" s="387" t="s">
        <v>12</v>
      </c>
      <c r="I7" s="388" t="s">
        <v>13</v>
      </c>
      <c r="J7" s="168" t="s">
        <v>14</v>
      </c>
      <c r="K7" s="168" t="s">
        <v>15</v>
      </c>
      <c r="L7" s="168" t="s">
        <v>16</v>
      </c>
      <c r="M7" s="168" t="s">
        <v>17</v>
      </c>
      <c r="N7" s="168" t="s">
        <v>18</v>
      </c>
      <c r="O7" s="168" t="s">
        <v>19</v>
      </c>
      <c r="P7" s="168" t="s">
        <v>20</v>
      </c>
      <c r="Q7" s="389" t="s">
        <v>21</v>
      </c>
    </row>
    <row r="8" spans="1:17" ht="56.25" customHeight="1">
      <c r="A8" s="381" t="s">
        <v>475</v>
      </c>
      <c r="B8" s="4">
        <f>SUM(C8:H8)</f>
        <v>691</v>
      </c>
      <c r="C8" s="5">
        <v>13</v>
      </c>
      <c r="D8" s="5">
        <v>2</v>
      </c>
      <c r="E8" s="5">
        <v>378</v>
      </c>
      <c r="F8" s="4">
        <v>1</v>
      </c>
      <c r="G8" s="4">
        <v>112</v>
      </c>
      <c r="H8" s="5">
        <v>185</v>
      </c>
      <c r="I8" s="6">
        <v>1458</v>
      </c>
      <c r="J8" s="6">
        <v>245</v>
      </c>
      <c r="K8" s="6">
        <v>21</v>
      </c>
      <c r="L8" s="6">
        <v>60</v>
      </c>
      <c r="M8" s="6">
        <v>198</v>
      </c>
      <c r="N8" s="6">
        <v>341</v>
      </c>
      <c r="O8" s="6">
        <v>167</v>
      </c>
      <c r="P8" s="6">
        <v>137</v>
      </c>
      <c r="Q8" s="6">
        <f>I8-J8-K8-L8-M8-N8-O8-P8</f>
        <v>289</v>
      </c>
    </row>
    <row r="9" spans="1:17" ht="56.25" customHeight="1">
      <c r="A9" s="381" t="s">
        <v>476</v>
      </c>
      <c r="B9" s="4">
        <f>SUM(C9:H9)</f>
        <v>692</v>
      </c>
      <c r="C9" s="5">
        <v>13</v>
      </c>
      <c r="D9" s="5">
        <v>2</v>
      </c>
      <c r="E9" s="5">
        <v>400</v>
      </c>
      <c r="F9" s="4">
        <v>1</v>
      </c>
      <c r="G9" s="4">
        <v>114</v>
      </c>
      <c r="H9" s="5">
        <v>162</v>
      </c>
      <c r="I9" s="6">
        <v>1552</v>
      </c>
      <c r="J9" s="6">
        <v>253</v>
      </c>
      <c r="K9" s="6">
        <v>24</v>
      </c>
      <c r="L9" s="6">
        <v>68</v>
      </c>
      <c r="M9" s="6">
        <v>211</v>
      </c>
      <c r="N9" s="6">
        <v>372</v>
      </c>
      <c r="O9" s="6">
        <v>165</v>
      </c>
      <c r="P9" s="6">
        <v>152</v>
      </c>
      <c r="Q9" s="6">
        <v>307</v>
      </c>
    </row>
    <row r="10" spans="1:17" ht="56.25" customHeight="1">
      <c r="A10" s="381" t="s">
        <v>477</v>
      </c>
      <c r="B10" s="4">
        <f>SUM(C10:H10)</f>
        <v>704</v>
      </c>
      <c r="C10" s="5">
        <v>13</v>
      </c>
      <c r="D10" s="5">
        <v>2</v>
      </c>
      <c r="E10" s="5">
        <v>416</v>
      </c>
      <c r="F10" s="4">
        <v>1</v>
      </c>
      <c r="G10" s="4">
        <v>115</v>
      </c>
      <c r="H10" s="5">
        <v>157</v>
      </c>
      <c r="I10" s="6">
        <v>1640</v>
      </c>
      <c r="J10" s="6">
        <v>282</v>
      </c>
      <c r="K10" s="6">
        <v>22</v>
      </c>
      <c r="L10" s="6">
        <v>73</v>
      </c>
      <c r="M10" s="6">
        <v>213</v>
      </c>
      <c r="N10" s="6">
        <v>389</v>
      </c>
      <c r="O10" s="6">
        <v>173</v>
      </c>
      <c r="P10" s="6">
        <v>165</v>
      </c>
      <c r="Q10" s="6">
        <v>323</v>
      </c>
    </row>
    <row r="11" spans="1:17" ht="56.25" customHeight="1">
      <c r="A11" s="381" t="s">
        <v>478</v>
      </c>
      <c r="B11" s="4">
        <v>732</v>
      </c>
      <c r="C11" s="5">
        <v>13</v>
      </c>
      <c r="D11" s="5">
        <v>2</v>
      </c>
      <c r="E11" s="5">
        <v>436</v>
      </c>
      <c r="F11" s="4">
        <v>1</v>
      </c>
      <c r="G11" s="4">
        <v>118</v>
      </c>
      <c r="H11" s="5">
        <v>162</v>
      </c>
      <c r="I11" s="6">
        <v>1771</v>
      </c>
      <c r="J11" s="6">
        <v>296</v>
      </c>
      <c r="K11" s="6">
        <v>24</v>
      </c>
      <c r="L11" s="6">
        <v>78</v>
      </c>
      <c r="M11" s="6">
        <v>230</v>
      </c>
      <c r="N11" s="6">
        <v>433</v>
      </c>
      <c r="O11" s="6">
        <v>181</v>
      </c>
      <c r="P11" s="6">
        <v>183</v>
      </c>
      <c r="Q11" s="6">
        <v>346</v>
      </c>
    </row>
    <row r="12" spans="1:17" ht="56.25" customHeight="1">
      <c r="A12" s="381" t="s">
        <v>479</v>
      </c>
      <c r="B12" s="4">
        <v>743</v>
      </c>
      <c r="C12" s="5">
        <v>13</v>
      </c>
      <c r="D12" s="5">
        <v>2</v>
      </c>
      <c r="E12" s="5">
        <v>446</v>
      </c>
      <c r="F12" s="4">
        <v>1</v>
      </c>
      <c r="G12" s="4">
        <v>118</v>
      </c>
      <c r="H12" s="5">
        <v>163</v>
      </c>
      <c r="I12" s="6">
        <v>1901</v>
      </c>
      <c r="J12" s="6">
        <v>313</v>
      </c>
      <c r="K12" s="6">
        <v>25</v>
      </c>
      <c r="L12" s="6">
        <v>86</v>
      </c>
      <c r="M12" s="6">
        <v>245</v>
      </c>
      <c r="N12" s="6">
        <v>461</v>
      </c>
      <c r="O12" s="6">
        <v>194</v>
      </c>
      <c r="P12" s="6">
        <v>197</v>
      </c>
      <c r="Q12" s="6">
        <v>380</v>
      </c>
    </row>
    <row r="13" spans="1:17" ht="56.25" customHeight="1">
      <c r="A13" s="381" t="s">
        <v>480</v>
      </c>
      <c r="B13" s="4">
        <v>751</v>
      </c>
      <c r="C13" s="5">
        <v>13</v>
      </c>
      <c r="D13" s="5">
        <v>2</v>
      </c>
      <c r="E13" s="5">
        <v>450</v>
      </c>
      <c r="F13" s="5">
        <v>1</v>
      </c>
      <c r="G13" s="5">
        <v>118</v>
      </c>
      <c r="H13" s="5">
        <v>167</v>
      </c>
      <c r="I13" s="7">
        <v>2042</v>
      </c>
      <c r="J13" s="7">
        <v>334</v>
      </c>
      <c r="K13" s="7">
        <v>26</v>
      </c>
      <c r="L13" s="7">
        <v>100</v>
      </c>
      <c r="M13" s="7">
        <v>260</v>
      </c>
      <c r="N13" s="7">
        <v>504</v>
      </c>
      <c r="O13" s="7">
        <v>208</v>
      </c>
      <c r="P13" s="7">
        <v>213</v>
      </c>
      <c r="Q13" s="7">
        <v>397</v>
      </c>
    </row>
    <row r="14" spans="1:17" ht="56.25" customHeight="1">
      <c r="A14" s="381" t="s">
        <v>481</v>
      </c>
      <c r="B14" s="4">
        <v>768</v>
      </c>
      <c r="C14" s="5">
        <v>13</v>
      </c>
      <c r="D14" s="5">
        <v>2</v>
      </c>
      <c r="E14" s="5">
        <v>464</v>
      </c>
      <c r="F14" s="5">
        <v>1</v>
      </c>
      <c r="G14" s="5">
        <v>119</v>
      </c>
      <c r="H14" s="5">
        <v>169</v>
      </c>
      <c r="I14" s="7">
        <v>2186</v>
      </c>
      <c r="J14" s="7">
        <v>353</v>
      </c>
      <c r="K14" s="7">
        <v>26</v>
      </c>
      <c r="L14" s="7">
        <v>116</v>
      </c>
      <c r="M14" s="7">
        <v>284</v>
      </c>
      <c r="N14" s="7">
        <v>531</v>
      </c>
      <c r="O14" s="7">
        <v>229</v>
      </c>
      <c r="P14" s="7">
        <v>222</v>
      </c>
      <c r="Q14" s="7">
        <v>425</v>
      </c>
    </row>
    <row r="15" spans="1:17" ht="56.25" customHeight="1">
      <c r="A15" s="379" t="s">
        <v>482</v>
      </c>
      <c r="B15" s="124">
        <f>SUM(C15:H15)</f>
        <v>776</v>
      </c>
      <c r="C15" s="5">
        <v>13</v>
      </c>
      <c r="D15" s="5">
        <v>2</v>
      </c>
      <c r="E15" s="5">
        <v>471</v>
      </c>
      <c r="F15" s="4">
        <v>1</v>
      </c>
      <c r="G15" s="4">
        <v>120</v>
      </c>
      <c r="H15" s="5">
        <v>169</v>
      </c>
      <c r="I15" s="7">
        <f>SUM(J15:Q15)</f>
        <v>2399</v>
      </c>
      <c r="J15" s="7">
        <v>387</v>
      </c>
      <c r="K15" s="7">
        <v>26</v>
      </c>
      <c r="L15" s="7">
        <v>136</v>
      </c>
      <c r="M15" s="7">
        <v>313</v>
      </c>
      <c r="N15" s="7">
        <v>579</v>
      </c>
      <c r="O15" s="7">
        <v>260</v>
      </c>
      <c r="P15" s="123">
        <v>249</v>
      </c>
      <c r="Q15" s="7">
        <v>449</v>
      </c>
    </row>
    <row r="16" spans="1:17" ht="56.25" customHeight="1">
      <c r="A16" s="381" t="s">
        <v>854</v>
      </c>
      <c r="B16" s="124">
        <f>SUM(C16:H16)</f>
        <v>788</v>
      </c>
      <c r="C16" s="403">
        <v>13</v>
      </c>
      <c r="D16" s="403">
        <v>2</v>
      </c>
      <c r="E16" s="403">
        <v>481</v>
      </c>
      <c r="F16" s="4">
        <v>1</v>
      </c>
      <c r="G16" s="4">
        <v>121</v>
      </c>
      <c r="H16" s="5">
        <v>170</v>
      </c>
      <c r="I16" s="4">
        <f>SUM(J16:Q16)</f>
        <v>2558</v>
      </c>
      <c r="J16" s="7">
        <v>418</v>
      </c>
      <c r="K16" s="7">
        <v>26</v>
      </c>
      <c r="L16" s="7">
        <v>141</v>
      </c>
      <c r="M16" s="7">
        <v>331</v>
      </c>
      <c r="N16" s="7">
        <v>621</v>
      </c>
      <c r="O16" s="7">
        <v>267</v>
      </c>
      <c r="P16" s="7">
        <v>272</v>
      </c>
      <c r="Q16" s="7">
        <v>482</v>
      </c>
    </row>
    <row r="17" spans="1:17" ht="56.25" customHeight="1" thickBot="1">
      <c r="A17" s="380" t="s">
        <v>1196</v>
      </c>
      <c r="B17" s="496">
        <f>SUM(C17:H17)</f>
        <v>747</v>
      </c>
      <c r="C17" s="421">
        <v>13</v>
      </c>
      <c r="D17" s="421">
        <v>2</v>
      </c>
      <c r="E17" s="421">
        <v>453</v>
      </c>
      <c r="F17" s="422">
        <v>1</v>
      </c>
      <c r="G17" s="422">
        <v>103</v>
      </c>
      <c r="H17" s="8">
        <v>175</v>
      </c>
      <c r="I17" s="9">
        <f>SUM(J17:Q17)</f>
        <v>2722</v>
      </c>
      <c r="J17" s="10">
        <v>455</v>
      </c>
      <c r="K17" s="10">
        <v>28</v>
      </c>
      <c r="L17" s="10">
        <v>144</v>
      </c>
      <c r="M17" s="10">
        <v>351</v>
      </c>
      <c r="N17" s="10">
        <v>649</v>
      </c>
      <c r="O17" s="10">
        <v>276</v>
      </c>
      <c r="P17" s="10">
        <v>289</v>
      </c>
      <c r="Q17" s="10">
        <v>530</v>
      </c>
    </row>
    <row r="18" spans="1:12" s="382" customFormat="1" ht="15" customHeight="1">
      <c r="A18" s="522" t="s">
        <v>1293</v>
      </c>
      <c r="B18" s="390"/>
      <c r="C18" s="390"/>
      <c r="D18" s="377"/>
      <c r="I18" s="368" t="s">
        <v>22</v>
      </c>
      <c r="J18" s="368"/>
      <c r="K18" s="368"/>
      <c r="L18" s="368"/>
    </row>
    <row r="19" s="382" customFormat="1" ht="12.75"/>
    <row r="20" s="382" customFormat="1" ht="12.75"/>
    <row r="21" s="382" customFormat="1" ht="12.75"/>
    <row r="22" s="382" customFormat="1" ht="12.75"/>
    <row r="23" s="382" customFormat="1" ht="12.75"/>
    <row r="24" s="382" customFormat="1" ht="12.75"/>
  </sheetData>
  <sheetProtection/>
  <mergeCells count="8">
    <mergeCell ref="A2:H2"/>
    <mergeCell ref="I2:Q2"/>
    <mergeCell ref="P3:Q3"/>
    <mergeCell ref="A4:A6"/>
    <mergeCell ref="B4:H4"/>
    <mergeCell ref="I4:Q4"/>
    <mergeCell ref="B5:H5"/>
    <mergeCell ref="I5:Q5"/>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18"/>
  <sheetViews>
    <sheetView showGridLines="0" view="pageBreakPreview" zoomScale="55" zoomScaleNormal="70" zoomScaleSheetLayoutView="5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D2" sqref="D2:I2"/>
    </sheetView>
  </sheetViews>
  <sheetFormatPr defaultColWidth="9.00390625" defaultRowHeight="16.5"/>
  <cols>
    <col min="1" max="1" width="22.625" style="218" customWidth="1"/>
    <col min="2" max="3" width="32.625" style="44" customWidth="1"/>
    <col min="4" max="9" width="14.625" style="44" customWidth="1"/>
    <col min="10" max="16384" width="9.00390625" style="44" customWidth="1"/>
  </cols>
  <sheetData>
    <row r="1" spans="1:9" s="218" customFormat="1" ht="18" customHeight="1">
      <c r="A1" s="210" t="s">
        <v>1077</v>
      </c>
      <c r="B1" s="210"/>
      <c r="C1" s="210"/>
      <c r="D1" s="210"/>
      <c r="E1" s="210"/>
      <c r="I1" s="258" t="s">
        <v>209</v>
      </c>
    </row>
    <row r="2" spans="1:15" s="218" customFormat="1" ht="24.75" customHeight="1">
      <c r="A2" s="625" t="s">
        <v>1166</v>
      </c>
      <c r="B2" s="625"/>
      <c r="C2" s="625"/>
      <c r="D2" s="658" t="s">
        <v>210</v>
      </c>
      <c r="E2" s="625"/>
      <c r="F2" s="625"/>
      <c r="G2" s="625"/>
      <c r="H2" s="625"/>
      <c r="I2" s="671"/>
      <c r="J2" s="175"/>
      <c r="K2" s="175"/>
      <c r="L2" s="175"/>
      <c r="M2" s="175"/>
      <c r="N2" s="175"/>
      <c r="O2" s="175"/>
    </row>
    <row r="3" spans="1:9" s="218" customFormat="1" ht="15" customHeight="1" thickBot="1">
      <c r="A3" s="253"/>
      <c r="B3" s="253"/>
      <c r="C3" s="449" t="s">
        <v>1167</v>
      </c>
      <c r="D3" s="253"/>
      <c r="E3" s="253"/>
      <c r="F3" s="253"/>
      <c r="H3" s="253"/>
      <c r="I3" s="449" t="s">
        <v>211</v>
      </c>
    </row>
    <row r="4" spans="1:9" s="218" customFormat="1" ht="25.5" customHeight="1">
      <c r="A4" s="660" t="s">
        <v>676</v>
      </c>
      <c r="B4" s="712" t="s">
        <v>701</v>
      </c>
      <c r="C4" s="713"/>
      <c r="D4" s="714" t="s">
        <v>1168</v>
      </c>
      <c r="E4" s="713"/>
      <c r="F4" s="713" t="s">
        <v>702</v>
      </c>
      <c r="G4" s="713"/>
      <c r="H4" s="713" t="s">
        <v>1169</v>
      </c>
      <c r="I4" s="676"/>
    </row>
    <row r="5" spans="1:9" s="218" customFormat="1" ht="31.5" customHeight="1">
      <c r="A5" s="641"/>
      <c r="B5" s="715" t="s">
        <v>212</v>
      </c>
      <c r="C5" s="669"/>
      <c r="D5" s="668" t="s">
        <v>213</v>
      </c>
      <c r="E5" s="669"/>
      <c r="F5" s="669" t="s">
        <v>214</v>
      </c>
      <c r="G5" s="669"/>
      <c r="H5" s="669" t="s">
        <v>215</v>
      </c>
      <c r="I5" s="665"/>
    </row>
    <row r="6" spans="1:9" s="218" customFormat="1" ht="25.5" customHeight="1">
      <c r="A6" s="641" t="s">
        <v>216</v>
      </c>
      <c r="B6" s="436" t="s">
        <v>601</v>
      </c>
      <c r="C6" s="183" t="s">
        <v>703</v>
      </c>
      <c r="D6" s="182" t="s">
        <v>559</v>
      </c>
      <c r="E6" s="183" t="s">
        <v>560</v>
      </c>
      <c r="F6" s="183" t="s">
        <v>559</v>
      </c>
      <c r="G6" s="183" t="s">
        <v>560</v>
      </c>
      <c r="H6" s="183" t="s">
        <v>1118</v>
      </c>
      <c r="I6" s="427" t="s">
        <v>560</v>
      </c>
    </row>
    <row r="7" spans="1:9" s="218" customFormat="1" ht="25.5" customHeight="1" thickBot="1">
      <c r="A7" s="642"/>
      <c r="B7" s="437" t="s">
        <v>217</v>
      </c>
      <c r="C7" s="252" t="s">
        <v>218</v>
      </c>
      <c r="D7" s="263" t="s">
        <v>219</v>
      </c>
      <c r="E7" s="252" t="s">
        <v>220</v>
      </c>
      <c r="F7" s="252" t="s">
        <v>219</v>
      </c>
      <c r="G7" s="252" t="s">
        <v>220</v>
      </c>
      <c r="H7" s="252" t="s">
        <v>445</v>
      </c>
      <c r="I7" s="264" t="s">
        <v>220</v>
      </c>
    </row>
    <row r="8" spans="1:9" ht="58.5" customHeight="1">
      <c r="A8" s="212" t="s">
        <v>704</v>
      </c>
      <c r="B8" s="113" t="s">
        <v>1213</v>
      </c>
      <c r="C8" s="113">
        <v>1111</v>
      </c>
      <c r="D8" s="132">
        <v>215350</v>
      </c>
      <c r="E8" s="132">
        <v>832452</v>
      </c>
      <c r="F8" s="132">
        <v>4045</v>
      </c>
      <c r="G8" s="132">
        <v>40442</v>
      </c>
      <c r="H8" s="132">
        <v>1908</v>
      </c>
      <c r="I8" s="81">
        <v>268994</v>
      </c>
    </row>
    <row r="9" spans="1:9" ht="58.5" customHeight="1">
      <c r="A9" s="212" t="s">
        <v>705</v>
      </c>
      <c r="B9" s="113" t="s">
        <v>1212</v>
      </c>
      <c r="C9" s="113">
        <v>1136</v>
      </c>
      <c r="D9" s="132">
        <v>238196</v>
      </c>
      <c r="E9" s="132">
        <v>918085</v>
      </c>
      <c r="F9" s="132">
        <v>4421</v>
      </c>
      <c r="G9" s="132">
        <v>42595</v>
      </c>
      <c r="H9" s="132">
        <v>2419</v>
      </c>
      <c r="I9" s="81">
        <v>300505</v>
      </c>
    </row>
    <row r="10" spans="1:9" ht="58.5" customHeight="1">
      <c r="A10" s="212" t="s">
        <v>706</v>
      </c>
      <c r="B10" s="113">
        <v>25</v>
      </c>
      <c r="C10" s="113">
        <v>1271</v>
      </c>
      <c r="D10" s="132">
        <v>239501</v>
      </c>
      <c r="E10" s="132">
        <v>933748</v>
      </c>
      <c r="F10" s="132">
        <v>4763</v>
      </c>
      <c r="G10" s="132">
        <v>43957</v>
      </c>
      <c r="H10" s="132">
        <v>1908</v>
      </c>
      <c r="I10" s="81">
        <v>329106</v>
      </c>
    </row>
    <row r="11" spans="1:9" ht="58.5" customHeight="1">
      <c r="A11" s="212" t="s">
        <v>707</v>
      </c>
      <c r="B11" s="113">
        <v>25</v>
      </c>
      <c r="C11" s="113">
        <v>1343</v>
      </c>
      <c r="D11" s="132">
        <v>244415</v>
      </c>
      <c r="E11" s="132">
        <v>954841</v>
      </c>
      <c r="F11" s="132">
        <v>4869</v>
      </c>
      <c r="G11" s="132">
        <v>46330</v>
      </c>
      <c r="H11" s="132">
        <v>1294</v>
      </c>
      <c r="I11" s="81">
        <v>272315</v>
      </c>
    </row>
    <row r="12" spans="1:9" ht="58.5" customHeight="1">
      <c r="A12" s="212" t="s">
        <v>708</v>
      </c>
      <c r="B12" s="450">
        <v>25</v>
      </c>
      <c r="C12" s="450">
        <v>1362</v>
      </c>
      <c r="D12" s="451">
        <v>250052</v>
      </c>
      <c r="E12" s="81">
        <v>1150357</v>
      </c>
      <c r="F12" s="81">
        <v>4606</v>
      </c>
      <c r="G12" s="81">
        <v>44093</v>
      </c>
      <c r="H12" s="81">
        <v>2043</v>
      </c>
      <c r="I12" s="81">
        <v>355804</v>
      </c>
    </row>
    <row r="13" spans="1:10" ht="58.5" customHeight="1">
      <c r="A13" s="212" t="s">
        <v>709</v>
      </c>
      <c r="B13" s="113">
        <v>26</v>
      </c>
      <c r="C13" s="113">
        <v>1399</v>
      </c>
      <c r="D13" s="113">
        <v>251202</v>
      </c>
      <c r="E13" s="81">
        <v>1162138</v>
      </c>
      <c r="F13" s="81">
        <v>3981</v>
      </c>
      <c r="G13" s="81">
        <v>44690</v>
      </c>
      <c r="H13" s="81">
        <v>2095</v>
      </c>
      <c r="I13" s="81">
        <v>373228</v>
      </c>
      <c r="J13" s="79"/>
    </row>
    <row r="14" spans="1:10" ht="58.5" customHeight="1">
      <c r="A14" s="212" t="s">
        <v>710</v>
      </c>
      <c r="B14" s="113">
        <v>26</v>
      </c>
      <c r="C14" s="113">
        <v>1374</v>
      </c>
      <c r="D14" s="113">
        <v>254713</v>
      </c>
      <c r="E14" s="81">
        <v>1179121</v>
      </c>
      <c r="F14" s="81">
        <v>3685</v>
      </c>
      <c r="G14" s="81">
        <v>44527</v>
      </c>
      <c r="H14" s="81">
        <v>2252</v>
      </c>
      <c r="I14" s="81">
        <v>388412</v>
      </c>
      <c r="J14" s="79"/>
    </row>
    <row r="15" spans="1:9" ht="58.5" customHeight="1">
      <c r="A15" s="212" t="s">
        <v>711</v>
      </c>
      <c r="B15" s="113">
        <v>27</v>
      </c>
      <c r="C15" s="113">
        <v>1350</v>
      </c>
      <c r="D15" s="132">
        <v>259050</v>
      </c>
      <c r="E15" s="132">
        <v>1209295</v>
      </c>
      <c r="F15" s="132">
        <v>3961</v>
      </c>
      <c r="G15" s="132">
        <v>44429</v>
      </c>
      <c r="H15" s="132">
        <v>2463</v>
      </c>
      <c r="I15" s="81">
        <v>447712</v>
      </c>
    </row>
    <row r="16" spans="1:9" ht="58.5" customHeight="1">
      <c r="A16" s="212" t="s">
        <v>881</v>
      </c>
      <c r="B16" s="113">
        <v>27</v>
      </c>
      <c r="C16" s="113">
        <v>1338</v>
      </c>
      <c r="D16" s="132">
        <v>267183</v>
      </c>
      <c r="E16" s="132">
        <v>1289424.648</v>
      </c>
      <c r="F16" s="132">
        <v>4539</v>
      </c>
      <c r="G16" s="132">
        <v>48172.321</v>
      </c>
      <c r="H16" s="132">
        <v>2670</v>
      </c>
      <c r="I16" s="81">
        <v>469508.968</v>
      </c>
    </row>
    <row r="17" spans="1:9" ht="58.5" customHeight="1" thickBot="1">
      <c r="A17" s="425" t="s">
        <v>1201</v>
      </c>
      <c r="B17" s="452">
        <v>26</v>
      </c>
      <c r="C17" s="452">
        <v>1326</v>
      </c>
      <c r="D17" s="453">
        <v>271571</v>
      </c>
      <c r="E17" s="453">
        <v>1321902.181</v>
      </c>
      <c r="F17" s="453">
        <v>5304</v>
      </c>
      <c r="G17" s="453">
        <v>54061.615</v>
      </c>
      <c r="H17" s="453">
        <v>2946</v>
      </c>
      <c r="I17" s="82">
        <v>519420.843</v>
      </c>
    </row>
    <row r="18" spans="1:9" s="218" customFormat="1" ht="15" customHeight="1">
      <c r="A18" s="312" t="s">
        <v>1080</v>
      </c>
      <c r="B18" s="312"/>
      <c r="C18" s="312"/>
      <c r="D18" s="247" t="s">
        <v>221</v>
      </c>
      <c r="E18" s="449"/>
      <c r="F18" s="449"/>
      <c r="G18" s="449"/>
      <c r="H18" s="449"/>
      <c r="I18" s="449"/>
    </row>
    <row r="19" s="218" customFormat="1" ht="12.75"/>
    <row r="20" s="218" customFormat="1" ht="12.75"/>
    <row r="21" s="218" customFormat="1" ht="12.75"/>
    <row r="22" s="218" customFormat="1" ht="12.75"/>
    <row r="23" s="218" customFormat="1" ht="12.75"/>
    <row r="24" s="218" customFormat="1" ht="12.75"/>
    <row r="25" s="218" customFormat="1" ht="12.75"/>
    <row r="26" s="218" customFormat="1" ht="12.75"/>
    <row r="27" s="218" customFormat="1" ht="12.75"/>
    <row r="28" s="218" customFormat="1" ht="12.75"/>
    <row r="29" s="218" customFormat="1" ht="12.75"/>
    <row r="30" s="218" customFormat="1" ht="12.75"/>
    <row r="31" s="218" customFormat="1" ht="12.75"/>
    <row r="32" s="218" customFormat="1" ht="12.75"/>
    <row r="33" s="218" customFormat="1" ht="12.75"/>
    <row r="34" s="218" customFormat="1" ht="12.75"/>
    <row r="35" s="218" customFormat="1" ht="12.75"/>
    <row r="36" s="218" customFormat="1" ht="12.75"/>
    <row r="37" s="218" customFormat="1" ht="12.75"/>
    <row r="38" s="218" customFormat="1" ht="12.75"/>
    <row r="39" s="218" customFormat="1" ht="12.75"/>
    <row r="40" s="218" customFormat="1" ht="12.75"/>
    <row r="41" s="218" customFormat="1" ht="12.75"/>
    <row r="42" s="218" customFormat="1" ht="12.75"/>
    <row r="43" s="218" customFormat="1" ht="12.75"/>
  </sheetData>
  <sheetProtection/>
  <mergeCells count="12">
    <mergeCell ref="D5:E5"/>
    <mergeCell ref="F5:G5"/>
    <mergeCell ref="H5:I5"/>
    <mergeCell ref="A6:A7"/>
    <mergeCell ref="A2:C2"/>
    <mergeCell ref="D2:I2"/>
    <mergeCell ref="A4:A5"/>
    <mergeCell ref="B4:C4"/>
    <mergeCell ref="D4:E4"/>
    <mergeCell ref="F4:G4"/>
    <mergeCell ref="H4:I4"/>
    <mergeCell ref="B5:C5"/>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A26"/>
  <sheetViews>
    <sheetView showGridLines="0" view="pageBreakPreview" zoomScale="55" zoomScaleNormal="70" zoomScaleSheetLayoutView="55"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H2" sqref="H2:P2"/>
    </sheetView>
  </sheetViews>
  <sheetFormatPr defaultColWidth="9.00390625" defaultRowHeight="16.5"/>
  <cols>
    <col min="1" max="1" width="10.625" style="158" customWidth="1"/>
    <col min="2" max="2" width="10.625" style="11" customWidth="1"/>
    <col min="3" max="3" width="16.125" style="11" customWidth="1"/>
    <col min="4" max="4" width="10.625" style="11" customWidth="1"/>
    <col min="5" max="5" width="15.625" style="11" customWidth="1"/>
    <col min="6" max="7" width="11.75390625" style="11" customWidth="1"/>
    <col min="8" max="16" width="9.75390625" style="11" customWidth="1"/>
    <col min="17" max="18" width="9.00390625" style="11" hidden="1" customWidth="1"/>
    <col min="19" max="19" width="8.125" style="11" hidden="1" customWidth="1"/>
    <col min="20" max="21" width="8.75390625" style="11" hidden="1" customWidth="1"/>
    <col min="22" max="22" width="10.125" style="11" hidden="1" customWidth="1"/>
    <col min="23" max="23" width="8.125" style="11" hidden="1" customWidth="1"/>
    <col min="24" max="24" width="10.75390625" style="11" hidden="1" customWidth="1"/>
    <col min="25" max="25" width="10.00390625" style="11" hidden="1" customWidth="1"/>
    <col min="26" max="26" width="11.50390625" style="11" hidden="1" customWidth="1"/>
    <col min="27" max="27" width="9.00390625" style="11" customWidth="1"/>
    <col min="28" max="16384" width="9.00390625" style="11" customWidth="1"/>
  </cols>
  <sheetData>
    <row r="1" spans="1:16" s="158" customFormat="1" ht="18" customHeight="1">
      <c r="A1" s="157" t="s">
        <v>1077</v>
      </c>
      <c r="P1" s="159" t="s">
        <v>0</v>
      </c>
    </row>
    <row r="2" spans="1:16" s="158" customFormat="1" ht="24.75" customHeight="1">
      <c r="A2" s="716" t="s">
        <v>1158</v>
      </c>
      <c r="B2" s="716"/>
      <c r="C2" s="716"/>
      <c r="D2" s="716"/>
      <c r="E2" s="716"/>
      <c r="F2" s="716"/>
      <c r="G2" s="716"/>
      <c r="H2" s="686" t="s">
        <v>222</v>
      </c>
      <c r="I2" s="686"/>
      <c r="J2" s="686"/>
      <c r="K2" s="686"/>
      <c r="L2" s="686"/>
      <c r="M2" s="686"/>
      <c r="N2" s="686"/>
      <c r="O2" s="686"/>
      <c r="P2" s="686"/>
    </row>
    <row r="3" spans="1:16" s="158" customFormat="1" ht="15" customHeight="1" thickBot="1">
      <c r="A3" s="160"/>
      <c r="B3" s="160"/>
      <c r="C3" s="160"/>
      <c r="D3" s="160"/>
      <c r="F3" s="160"/>
      <c r="G3" s="161" t="s">
        <v>1159</v>
      </c>
      <c r="H3" s="717"/>
      <c r="I3" s="717"/>
      <c r="K3" s="159"/>
      <c r="P3" s="159" t="s">
        <v>223</v>
      </c>
    </row>
    <row r="4" spans="1:26" s="158" customFormat="1" ht="19.5" customHeight="1">
      <c r="A4" s="688" t="s">
        <v>676</v>
      </c>
      <c r="B4" s="689" t="s">
        <v>677</v>
      </c>
      <c r="C4" s="718"/>
      <c r="D4" s="718"/>
      <c r="E4" s="719"/>
      <c r="F4" s="709" t="s">
        <v>690</v>
      </c>
      <c r="G4" s="719"/>
      <c r="H4" s="690" t="s">
        <v>1150</v>
      </c>
      <c r="I4" s="719"/>
      <c r="J4" s="709" t="s">
        <v>691</v>
      </c>
      <c r="K4" s="718"/>
      <c r="L4" s="720" t="s">
        <v>1160</v>
      </c>
      <c r="M4" s="720"/>
      <c r="N4" s="720"/>
      <c r="O4" s="720" t="s">
        <v>692</v>
      </c>
      <c r="P4" s="720"/>
      <c r="U4" s="721" t="s">
        <v>693</v>
      </c>
      <c r="V4" s="721"/>
      <c r="W4" s="721" t="s">
        <v>694</v>
      </c>
      <c r="X4" s="721"/>
      <c r="Y4" s="721" t="s">
        <v>695</v>
      </c>
      <c r="Z4" s="721"/>
    </row>
    <row r="5" spans="1:26" s="158" customFormat="1" ht="19.5" customHeight="1">
      <c r="A5" s="683"/>
      <c r="B5" s="723" t="s">
        <v>224</v>
      </c>
      <c r="C5" s="685"/>
      <c r="D5" s="685"/>
      <c r="E5" s="679"/>
      <c r="F5" s="677" t="s">
        <v>225</v>
      </c>
      <c r="G5" s="679"/>
      <c r="H5" s="685" t="s">
        <v>226</v>
      </c>
      <c r="I5" s="679"/>
      <c r="J5" s="677" t="s">
        <v>227</v>
      </c>
      <c r="K5" s="685"/>
      <c r="L5" s="724" t="s">
        <v>228</v>
      </c>
      <c r="M5" s="724"/>
      <c r="N5" s="724"/>
      <c r="O5" s="724" t="s">
        <v>229</v>
      </c>
      <c r="P5" s="724"/>
      <c r="U5" s="722"/>
      <c r="V5" s="722"/>
      <c r="W5" s="722"/>
      <c r="X5" s="722"/>
      <c r="Y5" s="722"/>
      <c r="Z5" s="722"/>
    </row>
    <row r="6" spans="1:27" s="158" customFormat="1" ht="30" customHeight="1">
      <c r="A6" s="683"/>
      <c r="B6" s="698" t="s">
        <v>681</v>
      </c>
      <c r="C6" s="179"/>
      <c r="D6" s="710" t="s">
        <v>671</v>
      </c>
      <c r="E6" s="275"/>
      <c r="F6" s="681" t="s">
        <v>681</v>
      </c>
      <c r="G6" s="681" t="s">
        <v>671</v>
      </c>
      <c r="H6" s="692" t="s">
        <v>681</v>
      </c>
      <c r="I6" s="681" t="s">
        <v>671</v>
      </c>
      <c r="J6" s="681" t="s">
        <v>681</v>
      </c>
      <c r="K6" s="696" t="s">
        <v>671</v>
      </c>
      <c r="L6" s="682" t="s">
        <v>685</v>
      </c>
      <c r="M6" s="682" t="s">
        <v>689</v>
      </c>
      <c r="N6" s="682" t="s">
        <v>686</v>
      </c>
      <c r="O6" s="682" t="s">
        <v>685</v>
      </c>
      <c r="P6" s="682" t="s">
        <v>686</v>
      </c>
      <c r="U6" s="722"/>
      <c r="V6" s="722"/>
      <c r="W6" s="722"/>
      <c r="X6" s="722"/>
      <c r="Y6" s="722"/>
      <c r="Z6" s="722"/>
      <c r="AA6" s="158" t="s">
        <v>230</v>
      </c>
    </row>
    <row r="7" spans="1:26" s="158" customFormat="1" ht="27" customHeight="1">
      <c r="A7" s="683" t="s">
        <v>231</v>
      </c>
      <c r="B7" s="698"/>
      <c r="C7" s="250" t="s">
        <v>696</v>
      </c>
      <c r="D7" s="710"/>
      <c r="E7" s="156" t="s">
        <v>697</v>
      </c>
      <c r="F7" s="725"/>
      <c r="G7" s="725"/>
      <c r="H7" s="700"/>
      <c r="I7" s="725"/>
      <c r="J7" s="725"/>
      <c r="K7" s="710"/>
      <c r="L7" s="726"/>
      <c r="M7" s="726"/>
      <c r="N7" s="726"/>
      <c r="O7" s="726"/>
      <c r="P7" s="726"/>
      <c r="U7" s="230" t="s">
        <v>698</v>
      </c>
      <c r="V7" s="230" t="s">
        <v>699</v>
      </c>
      <c r="W7" s="230" t="s">
        <v>700</v>
      </c>
      <c r="X7" s="230" t="s">
        <v>699</v>
      </c>
      <c r="Y7" s="230" t="s">
        <v>698</v>
      </c>
      <c r="Z7" s="230" t="s">
        <v>699</v>
      </c>
    </row>
    <row r="8" spans="1:26" s="158" customFormat="1" ht="19.5" customHeight="1">
      <c r="A8" s="683"/>
      <c r="B8" s="727" t="s">
        <v>232</v>
      </c>
      <c r="C8" s="725" t="s">
        <v>233</v>
      </c>
      <c r="D8" s="725" t="s">
        <v>234</v>
      </c>
      <c r="E8" s="725" t="s">
        <v>235</v>
      </c>
      <c r="F8" s="725" t="s">
        <v>232</v>
      </c>
      <c r="G8" s="725" t="s">
        <v>234</v>
      </c>
      <c r="H8" s="700" t="s">
        <v>232</v>
      </c>
      <c r="I8" s="725" t="s">
        <v>234</v>
      </c>
      <c r="J8" s="725" t="s">
        <v>232</v>
      </c>
      <c r="K8" s="710" t="s">
        <v>234</v>
      </c>
      <c r="L8" s="725" t="s">
        <v>236</v>
      </c>
      <c r="M8" s="725" t="s">
        <v>237</v>
      </c>
      <c r="N8" s="726" t="s">
        <v>220</v>
      </c>
      <c r="O8" s="725" t="s">
        <v>236</v>
      </c>
      <c r="P8" s="726" t="s">
        <v>220</v>
      </c>
      <c r="U8" s="722" t="s">
        <v>238</v>
      </c>
      <c r="V8" s="722" t="s">
        <v>239</v>
      </c>
      <c r="W8" s="722" t="s">
        <v>240</v>
      </c>
      <c r="X8" s="722" t="s">
        <v>241</v>
      </c>
      <c r="Y8" s="722" t="s">
        <v>238</v>
      </c>
      <c r="Z8" s="722" t="s">
        <v>239</v>
      </c>
    </row>
    <row r="9" spans="1:26" s="158" customFormat="1" ht="19.5" customHeight="1" thickBot="1">
      <c r="A9" s="684"/>
      <c r="B9" s="728"/>
      <c r="C9" s="729"/>
      <c r="D9" s="729"/>
      <c r="E9" s="729"/>
      <c r="F9" s="729"/>
      <c r="G9" s="729"/>
      <c r="H9" s="730"/>
      <c r="I9" s="729"/>
      <c r="J9" s="729"/>
      <c r="K9" s="731"/>
      <c r="L9" s="729"/>
      <c r="M9" s="729"/>
      <c r="N9" s="732"/>
      <c r="O9" s="729"/>
      <c r="P9" s="732"/>
      <c r="S9" s="158" t="s">
        <v>688</v>
      </c>
      <c r="T9" s="158" t="s">
        <v>687</v>
      </c>
      <c r="U9" s="722"/>
      <c r="V9" s="722"/>
      <c r="W9" s="722"/>
      <c r="X9" s="722"/>
      <c r="Y9" s="722"/>
      <c r="Z9" s="722"/>
    </row>
    <row r="10" spans="1:26" s="79" customFormat="1" ht="47.25" customHeight="1">
      <c r="A10" s="212" t="s">
        <v>498</v>
      </c>
      <c r="B10" s="80">
        <f aca="true" t="shared" si="0" ref="B10:B18">F10+H10+J10</f>
        <v>3772</v>
      </c>
      <c r="C10" s="107">
        <f>B10/S10*100</f>
        <v>0.5920847126929337</v>
      </c>
      <c r="D10" s="81">
        <f aca="true" t="shared" si="1" ref="D10:D18">G10+I10+K10</f>
        <v>9791</v>
      </c>
      <c r="E10" s="107">
        <f>D10/T10*100</f>
        <v>0.49987593723547313</v>
      </c>
      <c r="F10" s="91">
        <v>74</v>
      </c>
      <c r="G10" s="91">
        <v>82</v>
      </c>
      <c r="H10" s="91">
        <v>773</v>
      </c>
      <c r="I10" s="91">
        <v>1988</v>
      </c>
      <c r="J10" s="91">
        <v>2925</v>
      </c>
      <c r="K10" s="91">
        <v>7721</v>
      </c>
      <c r="L10" s="91">
        <f aca="true" t="shared" si="2" ref="L10:L17">SUM(U10,Y10)</f>
        <v>46568</v>
      </c>
      <c r="M10" s="91">
        <f aca="true" t="shared" si="3" ref="M10:M15">W10</f>
        <v>9511</v>
      </c>
      <c r="N10" s="91">
        <f aca="true" t="shared" si="4" ref="N10:N17">SUM(V10,X10,Z10)/1000</f>
        <v>130083.491</v>
      </c>
      <c r="O10" s="91">
        <v>14994</v>
      </c>
      <c r="P10" s="91">
        <v>65273</v>
      </c>
      <c r="Q10" s="423">
        <f aca="true" t="shared" si="5" ref="Q10:R17">F10+H10+J10</f>
        <v>3772</v>
      </c>
      <c r="R10" s="423">
        <f t="shared" si="5"/>
        <v>9791</v>
      </c>
      <c r="S10" s="104">
        <v>637071</v>
      </c>
      <c r="T10" s="104">
        <v>1958686</v>
      </c>
      <c r="U10" s="104">
        <v>1042</v>
      </c>
      <c r="V10" s="104">
        <v>8144491</v>
      </c>
      <c r="W10" s="104">
        <v>9511</v>
      </c>
      <c r="X10" s="104">
        <v>38925000</v>
      </c>
      <c r="Y10" s="104">
        <v>45526</v>
      </c>
      <c r="Z10" s="104">
        <v>83014000</v>
      </c>
    </row>
    <row r="11" spans="1:26" s="44" customFormat="1" ht="47.25" customHeight="1">
      <c r="A11" s="212" t="s">
        <v>499</v>
      </c>
      <c r="B11" s="80">
        <f t="shared" si="0"/>
        <v>4598</v>
      </c>
      <c r="C11" s="107">
        <f aca="true" t="shared" si="6" ref="C11:C17">B11/S11*100</f>
        <v>0.7029441711282269</v>
      </c>
      <c r="D11" s="81">
        <f t="shared" si="1"/>
        <v>12224</v>
      </c>
      <c r="E11" s="107">
        <f aca="true" t="shared" si="7" ref="E11:E17">D11/T11*100</f>
        <v>0.6177537495287505</v>
      </c>
      <c r="F11" s="112">
        <v>72</v>
      </c>
      <c r="G11" s="91">
        <v>79</v>
      </c>
      <c r="H11" s="91">
        <v>767</v>
      </c>
      <c r="I11" s="91">
        <v>2000</v>
      </c>
      <c r="J11" s="112">
        <v>3759</v>
      </c>
      <c r="K11" s="91">
        <v>10145</v>
      </c>
      <c r="L11" s="91">
        <f t="shared" si="2"/>
        <v>50387</v>
      </c>
      <c r="M11" s="91">
        <f t="shared" si="3"/>
        <v>8125</v>
      </c>
      <c r="N11" s="91">
        <f t="shared" si="4"/>
        <v>158603.654</v>
      </c>
      <c r="O11" s="91">
        <v>15293</v>
      </c>
      <c r="P11" s="91">
        <v>76518</v>
      </c>
      <c r="Q11" s="423">
        <f t="shared" si="5"/>
        <v>4598</v>
      </c>
      <c r="R11" s="423">
        <f t="shared" si="5"/>
        <v>12224</v>
      </c>
      <c r="S11" s="104">
        <v>654106</v>
      </c>
      <c r="T11" s="104">
        <v>1978782</v>
      </c>
      <c r="U11" s="104">
        <v>926</v>
      </c>
      <c r="V11" s="104">
        <v>9092254</v>
      </c>
      <c r="W11" s="104">
        <v>8125</v>
      </c>
      <c r="X11" s="104">
        <v>40645000</v>
      </c>
      <c r="Y11" s="104">
        <v>49461</v>
      </c>
      <c r="Z11" s="104">
        <v>108866400</v>
      </c>
    </row>
    <row r="12" spans="1:26" s="44" customFormat="1" ht="47.25" customHeight="1">
      <c r="A12" s="212" t="s">
        <v>500</v>
      </c>
      <c r="B12" s="80">
        <f t="shared" si="0"/>
        <v>4964</v>
      </c>
      <c r="C12" s="107">
        <f t="shared" si="6"/>
        <v>0.7370704567490798</v>
      </c>
      <c r="D12" s="81">
        <f t="shared" si="1"/>
        <v>13568</v>
      </c>
      <c r="E12" s="107">
        <f t="shared" si="7"/>
        <v>0.6777019669740167</v>
      </c>
      <c r="F12" s="112">
        <v>73</v>
      </c>
      <c r="G12" s="91">
        <v>77</v>
      </c>
      <c r="H12" s="91">
        <v>729</v>
      </c>
      <c r="I12" s="91">
        <v>1778</v>
      </c>
      <c r="J12" s="112">
        <v>4162</v>
      </c>
      <c r="K12" s="91">
        <v>11713</v>
      </c>
      <c r="L12" s="91">
        <f t="shared" si="2"/>
        <v>61881</v>
      </c>
      <c r="M12" s="91">
        <f t="shared" si="3"/>
        <v>8313</v>
      </c>
      <c r="N12" s="91">
        <f t="shared" si="4"/>
        <v>184248.882</v>
      </c>
      <c r="O12" s="91">
        <v>21892</v>
      </c>
      <c r="P12" s="91">
        <v>109460</v>
      </c>
      <c r="Q12" s="423">
        <f t="shared" si="5"/>
        <v>4964</v>
      </c>
      <c r="R12" s="423">
        <f t="shared" si="5"/>
        <v>13568</v>
      </c>
      <c r="S12" s="104">
        <v>673477</v>
      </c>
      <c r="T12" s="104">
        <v>2002060</v>
      </c>
      <c r="U12" s="104">
        <v>858</v>
      </c>
      <c r="V12" s="104">
        <v>8433282</v>
      </c>
      <c r="W12" s="104">
        <v>8313</v>
      </c>
      <c r="X12" s="104">
        <v>41565000</v>
      </c>
      <c r="Y12" s="104">
        <v>61023</v>
      </c>
      <c r="Z12" s="104">
        <v>134250600</v>
      </c>
    </row>
    <row r="13" spans="1:26" s="44" customFormat="1" ht="47.25" customHeight="1">
      <c r="A13" s="212" t="s">
        <v>501</v>
      </c>
      <c r="B13" s="80">
        <f t="shared" si="0"/>
        <v>5104</v>
      </c>
      <c r="C13" s="107">
        <f t="shared" si="6"/>
        <v>0.7437273504858853</v>
      </c>
      <c r="D13" s="81">
        <f t="shared" si="1"/>
        <v>13676</v>
      </c>
      <c r="E13" s="107">
        <f t="shared" si="7"/>
        <v>0.6792810825980167</v>
      </c>
      <c r="F13" s="112">
        <v>65</v>
      </c>
      <c r="G13" s="91">
        <v>68</v>
      </c>
      <c r="H13" s="91">
        <v>701</v>
      </c>
      <c r="I13" s="91">
        <v>1615</v>
      </c>
      <c r="J13" s="112">
        <v>4338</v>
      </c>
      <c r="K13" s="91">
        <v>11993</v>
      </c>
      <c r="L13" s="91">
        <f t="shared" si="2"/>
        <v>61024</v>
      </c>
      <c r="M13" s="91">
        <f t="shared" si="3"/>
        <v>8081</v>
      </c>
      <c r="N13" s="91">
        <f t="shared" si="4"/>
        <v>181031.154</v>
      </c>
      <c r="O13" s="91">
        <v>25786</v>
      </c>
      <c r="P13" s="91">
        <v>129014</v>
      </c>
      <c r="Q13" s="423">
        <f t="shared" si="5"/>
        <v>5104</v>
      </c>
      <c r="R13" s="423">
        <f t="shared" si="5"/>
        <v>13676</v>
      </c>
      <c r="S13" s="104">
        <v>686273</v>
      </c>
      <c r="T13" s="104">
        <v>2013305</v>
      </c>
      <c r="U13" s="104">
        <v>826</v>
      </c>
      <c r="V13" s="104">
        <v>8118754</v>
      </c>
      <c r="W13" s="104">
        <v>8081</v>
      </c>
      <c r="X13" s="104">
        <v>40410000</v>
      </c>
      <c r="Y13" s="104">
        <v>60198</v>
      </c>
      <c r="Z13" s="104">
        <v>132502400</v>
      </c>
    </row>
    <row r="14" spans="1:26" s="44" customFormat="1" ht="47.25" customHeight="1">
      <c r="A14" s="212" t="s">
        <v>502</v>
      </c>
      <c r="B14" s="80">
        <f t="shared" si="0"/>
        <v>5643</v>
      </c>
      <c r="C14" s="107">
        <f t="shared" si="6"/>
        <v>0.8040443015159007</v>
      </c>
      <c r="D14" s="81">
        <f t="shared" si="1"/>
        <v>15185</v>
      </c>
      <c r="E14" s="107">
        <f t="shared" si="7"/>
        <v>0.7479702348729977</v>
      </c>
      <c r="F14" s="112">
        <v>53</v>
      </c>
      <c r="G14" s="91">
        <v>54</v>
      </c>
      <c r="H14" s="91">
        <v>692</v>
      </c>
      <c r="I14" s="91">
        <v>1519</v>
      </c>
      <c r="J14" s="112">
        <v>4898</v>
      </c>
      <c r="K14" s="91">
        <v>13612</v>
      </c>
      <c r="L14" s="91">
        <f t="shared" si="2"/>
        <v>61334</v>
      </c>
      <c r="M14" s="91">
        <f t="shared" si="3"/>
        <v>7896</v>
      </c>
      <c r="N14" s="91">
        <f t="shared" si="4"/>
        <v>211401.224</v>
      </c>
      <c r="O14" s="91">
        <v>30897</v>
      </c>
      <c r="P14" s="91">
        <v>182336</v>
      </c>
      <c r="Q14" s="423">
        <f t="shared" si="5"/>
        <v>5643</v>
      </c>
      <c r="R14" s="423">
        <f t="shared" si="5"/>
        <v>15185</v>
      </c>
      <c r="S14" s="104">
        <v>701827</v>
      </c>
      <c r="T14" s="104">
        <v>2030161</v>
      </c>
      <c r="U14" s="104">
        <v>696</v>
      </c>
      <c r="V14" s="104">
        <v>7129824</v>
      </c>
      <c r="W14" s="104">
        <v>7896</v>
      </c>
      <c r="X14" s="104">
        <v>46599600</v>
      </c>
      <c r="Y14" s="104">
        <v>60638</v>
      </c>
      <c r="Z14" s="104">
        <v>157671800</v>
      </c>
    </row>
    <row r="15" spans="1:26" s="79" customFormat="1" ht="47.25" customHeight="1">
      <c r="A15" s="212" t="s">
        <v>503</v>
      </c>
      <c r="B15" s="80">
        <f t="shared" si="0"/>
        <v>5858</v>
      </c>
      <c r="C15" s="107">
        <f t="shared" si="6"/>
        <v>0.8174919269532307</v>
      </c>
      <c r="D15" s="81">
        <f t="shared" si="1"/>
        <v>15568</v>
      </c>
      <c r="E15" s="107">
        <f t="shared" si="7"/>
        <v>0.7616352653566031</v>
      </c>
      <c r="F15" s="112">
        <v>52</v>
      </c>
      <c r="G15" s="91">
        <v>55</v>
      </c>
      <c r="H15" s="91">
        <v>713</v>
      </c>
      <c r="I15" s="91">
        <v>1563</v>
      </c>
      <c r="J15" s="112">
        <v>5093</v>
      </c>
      <c r="K15" s="91">
        <v>13950</v>
      </c>
      <c r="L15" s="91">
        <f t="shared" si="2"/>
        <v>78556</v>
      </c>
      <c r="M15" s="91">
        <f t="shared" si="3"/>
        <v>9907</v>
      </c>
      <c r="N15" s="91">
        <f t="shared" si="4"/>
        <v>268712.728</v>
      </c>
      <c r="O15" s="91">
        <v>40261</v>
      </c>
      <c r="P15" s="91">
        <v>237540</v>
      </c>
      <c r="Q15" s="423">
        <f t="shared" si="5"/>
        <v>5858</v>
      </c>
      <c r="R15" s="423">
        <f t="shared" si="5"/>
        <v>15568</v>
      </c>
      <c r="S15" s="104">
        <v>716582</v>
      </c>
      <c r="T15" s="104">
        <v>2044023</v>
      </c>
      <c r="U15" s="104">
        <v>787</v>
      </c>
      <c r="V15" s="104">
        <v>8062028</v>
      </c>
      <c r="W15" s="104">
        <v>9907</v>
      </c>
      <c r="X15" s="104">
        <v>58451300</v>
      </c>
      <c r="Y15" s="104">
        <v>77769</v>
      </c>
      <c r="Z15" s="104">
        <v>202199400</v>
      </c>
    </row>
    <row r="16" spans="1:26" s="44" customFormat="1" ht="47.25" customHeight="1">
      <c r="A16" s="212" t="s">
        <v>504</v>
      </c>
      <c r="B16" s="80">
        <f t="shared" si="0"/>
        <v>6213</v>
      </c>
      <c r="C16" s="107">
        <f t="shared" si="6"/>
        <v>0.8476079257411964</v>
      </c>
      <c r="D16" s="81">
        <f t="shared" si="1"/>
        <v>17361</v>
      </c>
      <c r="E16" s="107">
        <f t="shared" si="7"/>
        <v>0.8434515781741296</v>
      </c>
      <c r="F16" s="112">
        <v>43</v>
      </c>
      <c r="G16" s="91">
        <v>46</v>
      </c>
      <c r="H16" s="91">
        <v>759</v>
      </c>
      <c r="I16" s="91">
        <v>1611</v>
      </c>
      <c r="J16" s="112">
        <v>5411</v>
      </c>
      <c r="K16" s="91">
        <v>15704</v>
      </c>
      <c r="L16" s="91">
        <f t="shared" si="2"/>
        <v>65103</v>
      </c>
      <c r="M16" s="91">
        <v>8698</v>
      </c>
      <c r="N16" s="91">
        <f t="shared" si="4"/>
        <v>224736.692</v>
      </c>
      <c r="O16" s="91">
        <v>33202</v>
      </c>
      <c r="P16" s="91">
        <v>195892</v>
      </c>
      <c r="Q16" s="423">
        <f t="shared" si="5"/>
        <v>6213</v>
      </c>
      <c r="R16" s="423">
        <f t="shared" si="5"/>
        <v>17361</v>
      </c>
      <c r="S16" s="104">
        <v>733004</v>
      </c>
      <c r="T16" s="104">
        <v>2058328</v>
      </c>
      <c r="U16" s="104">
        <v>543</v>
      </c>
      <c r="V16" s="104">
        <v>5562492</v>
      </c>
      <c r="W16" s="104">
        <v>8698</v>
      </c>
      <c r="X16" s="104">
        <v>51318200</v>
      </c>
      <c r="Y16" s="104">
        <v>64560</v>
      </c>
      <c r="Z16" s="104">
        <v>167856000</v>
      </c>
    </row>
    <row r="17" spans="1:26" s="14" customFormat="1" ht="47.25" customHeight="1">
      <c r="A17" s="291" t="s">
        <v>505</v>
      </c>
      <c r="B17" s="40">
        <f t="shared" si="0"/>
        <v>6927</v>
      </c>
      <c r="C17" s="105">
        <f t="shared" si="6"/>
        <v>0.9229834470573658</v>
      </c>
      <c r="D17" s="34">
        <f t="shared" si="1"/>
        <v>17963</v>
      </c>
      <c r="E17" s="105">
        <f t="shared" si="7"/>
        <v>0.8530330803787669</v>
      </c>
      <c r="F17" s="84">
        <v>41</v>
      </c>
      <c r="G17" s="84">
        <v>44</v>
      </c>
      <c r="H17" s="84">
        <v>922</v>
      </c>
      <c r="I17" s="84">
        <v>1900</v>
      </c>
      <c r="J17" s="84">
        <v>5964</v>
      </c>
      <c r="K17" s="84">
        <v>16019</v>
      </c>
      <c r="L17" s="84">
        <f t="shared" si="2"/>
        <v>73460</v>
      </c>
      <c r="M17" s="84">
        <f>W17</f>
        <v>10394</v>
      </c>
      <c r="N17" s="84">
        <f t="shared" si="4"/>
        <v>256249.616</v>
      </c>
      <c r="O17" s="84">
        <v>37183</v>
      </c>
      <c r="P17" s="84">
        <f>219379700/1000</f>
        <v>219379.7</v>
      </c>
      <c r="Q17" s="134">
        <f t="shared" si="5"/>
        <v>6927</v>
      </c>
      <c r="R17" s="134">
        <f t="shared" si="5"/>
        <v>17963</v>
      </c>
      <c r="S17" s="104">
        <v>750501</v>
      </c>
      <c r="T17" s="104">
        <v>2105780</v>
      </c>
      <c r="U17" s="104">
        <v>514</v>
      </c>
      <c r="V17" s="104">
        <v>5265416</v>
      </c>
      <c r="W17" s="104">
        <v>10394</v>
      </c>
      <c r="X17" s="104">
        <v>61324600</v>
      </c>
      <c r="Y17" s="104">
        <v>72946</v>
      </c>
      <c r="Z17" s="104">
        <v>189659600</v>
      </c>
    </row>
    <row r="18" spans="1:26" s="14" customFormat="1" ht="47.25" customHeight="1">
      <c r="A18" s="203" t="s">
        <v>882</v>
      </c>
      <c r="B18" s="40">
        <f t="shared" si="0"/>
        <v>7690</v>
      </c>
      <c r="C18" s="107">
        <f>B18/S18*100</f>
        <v>0.9975431122826225</v>
      </c>
      <c r="D18" s="34">
        <f t="shared" si="1"/>
        <v>19927</v>
      </c>
      <c r="E18" s="107">
        <f>D18/T18*100</f>
        <v>0.9278025554961138</v>
      </c>
      <c r="F18" s="91">
        <v>45</v>
      </c>
      <c r="G18" s="84">
        <v>49</v>
      </c>
      <c r="H18" s="84">
        <v>1069</v>
      </c>
      <c r="I18" s="84">
        <v>2192</v>
      </c>
      <c r="J18" s="84">
        <v>6576</v>
      </c>
      <c r="K18" s="91">
        <v>17686</v>
      </c>
      <c r="L18" s="91">
        <f>SUM(U18,Y18)</f>
        <v>76727</v>
      </c>
      <c r="M18" s="91">
        <f>W18</f>
        <v>12046</v>
      </c>
      <c r="N18" s="84">
        <f>SUM(V18,X18,Z18)/1000</f>
        <v>284505.054</v>
      </c>
      <c r="O18" s="91">
        <v>40294</v>
      </c>
      <c r="P18" s="91">
        <f>246397810/1000</f>
        <v>246397.81</v>
      </c>
      <c r="Q18" s="134">
        <f>F18+H18+J18</f>
        <v>7690</v>
      </c>
      <c r="R18" s="134">
        <f>G18+I18+K18</f>
        <v>19927</v>
      </c>
      <c r="S18" s="104">
        <v>770894</v>
      </c>
      <c r="T18" s="104">
        <v>2147763</v>
      </c>
      <c r="U18" s="104">
        <v>513</v>
      </c>
      <c r="V18" s="104">
        <v>5447034</v>
      </c>
      <c r="W18" s="104">
        <v>12046</v>
      </c>
      <c r="X18" s="104">
        <v>73661290</v>
      </c>
      <c r="Y18" s="104">
        <v>76214</v>
      </c>
      <c r="Z18" s="104">
        <v>205396730</v>
      </c>
    </row>
    <row r="19" spans="1:26" s="14" customFormat="1" ht="47.25" customHeight="1" thickBot="1">
      <c r="A19" s="204" t="s">
        <v>1202</v>
      </c>
      <c r="B19" s="133">
        <v>8224</v>
      </c>
      <c r="C19" s="109">
        <f>B19/S19*100</f>
        <v>1.0405174246181566</v>
      </c>
      <c r="D19" s="43">
        <v>20856</v>
      </c>
      <c r="E19" s="109">
        <f>D19/T19*100</f>
        <v>0.9531918627688908</v>
      </c>
      <c r="F19" s="96">
        <v>39</v>
      </c>
      <c r="G19" s="96">
        <v>42</v>
      </c>
      <c r="H19" s="43">
        <v>1126</v>
      </c>
      <c r="I19" s="43">
        <v>2242</v>
      </c>
      <c r="J19" s="43">
        <v>7059</v>
      </c>
      <c r="K19" s="43">
        <v>18572</v>
      </c>
      <c r="L19" s="94">
        <f>SUM(U19,Y19)</f>
        <v>79714</v>
      </c>
      <c r="M19" s="96">
        <f>W19</f>
        <v>12905</v>
      </c>
      <c r="N19" s="96">
        <f>SUM(V19,X19,Z19)/1000</f>
        <v>297482.961</v>
      </c>
      <c r="O19" s="96">
        <v>40692</v>
      </c>
      <c r="P19" s="96">
        <f>248831580/1000</f>
        <v>248831.58</v>
      </c>
      <c r="Q19" s="134">
        <v>8224</v>
      </c>
      <c r="R19" s="134">
        <v>20856</v>
      </c>
      <c r="S19" s="104">
        <v>790376</v>
      </c>
      <c r="T19" s="104">
        <v>2188017</v>
      </c>
      <c r="U19" s="104">
        <v>472</v>
      </c>
      <c r="V19" s="104">
        <v>5011696</v>
      </c>
      <c r="W19" s="104">
        <v>12905</v>
      </c>
      <c r="X19" s="104">
        <v>78914075</v>
      </c>
      <c r="Y19" s="104">
        <v>79242</v>
      </c>
      <c r="Z19" s="104">
        <v>213557190</v>
      </c>
    </row>
    <row r="20" spans="1:8" s="158" customFormat="1" ht="14.25" customHeight="1">
      <c r="A20" s="174" t="s">
        <v>1151</v>
      </c>
      <c r="H20" s="247" t="s">
        <v>883</v>
      </c>
    </row>
    <row r="21" spans="1:26" s="158" customFormat="1" ht="14.25" customHeight="1">
      <c r="A21" s="174" t="s">
        <v>1161</v>
      </c>
      <c r="E21" s="179"/>
      <c r="F21" s="179"/>
      <c r="G21" s="179"/>
      <c r="H21" s="289" t="s">
        <v>884</v>
      </c>
      <c r="I21" s="179"/>
      <c r="J21" s="179"/>
      <c r="K21" s="179"/>
      <c r="L21" s="179"/>
      <c r="M21" s="179"/>
      <c r="Q21" s="424"/>
      <c r="U21" s="104"/>
      <c r="V21" s="104"/>
      <c r="W21" s="104"/>
      <c r="X21" s="104"/>
      <c r="Y21" s="104"/>
      <c r="Z21" s="104"/>
    </row>
    <row r="22" spans="1:13" s="158" customFormat="1" ht="14.25" customHeight="1">
      <c r="A22" s="174" t="s">
        <v>1162</v>
      </c>
      <c r="B22" s="248"/>
      <c r="C22" s="248"/>
      <c r="D22" s="248"/>
      <c r="E22" s="301"/>
      <c r="F22" s="179"/>
      <c r="G22" s="301"/>
      <c r="H22" s="289" t="s">
        <v>885</v>
      </c>
      <c r="I22" s="301"/>
      <c r="J22" s="301"/>
      <c r="K22" s="301"/>
      <c r="L22" s="179"/>
      <c r="M22" s="179"/>
    </row>
    <row r="23" spans="1:11" s="158" customFormat="1" ht="14.25" customHeight="1">
      <c r="A23" s="174" t="s">
        <v>1163</v>
      </c>
      <c r="B23" s="248"/>
      <c r="C23" s="248"/>
      <c r="D23" s="248"/>
      <c r="E23" s="248"/>
      <c r="G23" s="248"/>
      <c r="H23" s="178" t="s">
        <v>886</v>
      </c>
      <c r="I23" s="248"/>
      <c r="J23" s="248"/>
      <c r="K23" s="248"/>
    </row>
    <row r="24" spans="1:8" s="158" customFormat="1" ht="14.25" customHeight="1">
      <c r="A24" s="174" t="s">
        <v>1164</v>
      </c>
      <c r="H24" s="178" t="s">
        <v>887</v>
      </c>
    </row>
    <row r="25" spans="1:8" s="158" customFormat="1" ht="14.25" customHeight="1">
      <c r="A25" s="174" t="s">
        <v>1165</v>
      </c>
      <c r="H25" s="178" t="s">
        <v>888</v>
      </c>
    </row>
    <row r="26" s="158" customFormat="1" ht="14.25" customHeight="1">
      <c r="H26" s="178" t="s">
        <v>889</v>
      </c>
    </row>
    <row r="27" s="158" customFormat="1" ht="12.75"/>
    <row r="28" s="158" customFormat="1" ht="12.75"/>
    <row r="29" s="158" customFormat="1" ht="12.75"/>
    <row r="30" s="158" customFormat="1" ht="12.75"/>
    <row r="31" s="158" customFormat="1" ht="12.75"/>
    <row r="32" s="158" customFormat="1" ht="12.75"/>
    <row r="33" s="158" customFormat="1" ht="12.75"/>
    <row r="34" s="158" customFormat="1" ht="12.75"/>
    <row r="35" s="158" customFormat="1" ht="12.75"/>
    <row r="36" s="158" customFormat="1" ht="12.75"/>
    <row r="37" s="158" customFormat="1" ht="12.75"/>
  </sheetData>
  <sheetProtection/>
  <mergeCells count="54">
    <mergeCell ref="W8:W9"/>
    <mergeCell ref="X8:X9"/>
    <mergeCell ref="Y8:Y9"/>
    <mergeCell ref="Z8:Z9"/>
    <mergeCell ref="M8:M9"/>
    <mergeCell ref="N8:N9"/>
    <mergeCell ref="O8:O9"/>
    <mergeCell ref="P8:P9"/>
    <mergeCell ref="U8:U9"/>
    <mergeCell ref="V8:V9"/>
    <mergeCell ref="G8:G9"/>
    <mergeCell ref="H8:H9"/>
    <mergeCell ref="I8:I9"/>
    <mergeCell ref="J8:J9"/>
    <mergeCell ref="K8:K9"/>
    <mergeCell ref="L8:L9"/>
    <mergeCell ref="A7:A9"/>
    <mergeCell ref="B8:B9"/>
    <mergeCell ref="C8:C9"/>
    <mergeCell ref="D8:D9"/>
    <mergeCell ref="E8:E9"/>
    <mergeCell ref="F8:F9"/>
    <mergeCell ref="D6:D7"/>
    <mergeCell ref="F6:F7"/>
    <mergeCell ref="I6:I7"/>
    <mergeCell ref="J6:J7"/>
    <mergeCell ref="U4:V6"/>
    <mergeCell ref="W4:X6"/>
    <mergeCell ref="K6:K7"/>
    <mergeCell ref="L6:L7"/>
    <mergeCell ref="M6:M7"/>
    <mergeCell ref="N6:N7"/>
    <mergeCell ref="O6:O7"/>
    <mergeCell ref="P6:P7"/>
    <mergeCell ref="Y4:Z6"/>
    <mergeCell ref="B5:E5"/>
    <mergeCell ref="F5:G5"/>
    <mergeCell ref="H5:I5"/>
    <mergeCell ref="J5:K5"/>
    <mergeCell ref="L5:N5"/>
    <mergeCell ref="O5:P5"/>
    <mergeCell ref="B6:B7"/>
    <mergeCell ref="G6:G7"/>
    <mergeCell ref="H6:H7"/>
    <mergeCell ref="A2:G2"/>
    <mergeCell ref="H2:P2"/>
    <mergeCell ref="H3:I3"/>
    <mergeCell ref="A4:A6"/>
    <mergeCell ref="B4:E4"/>
    <mergeCell ref="F4:G4"/>
    <mergeCell ref="H4:I4"/>
    <mergeCell ref="J4:K4"/>
    <mergeCell ref="L4:N4"/>
    <mergeCell ref="O4:P4"/>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Q22"/>
  <sheetViews>
    <sheetView showGridLines="0" view="pageBreakPreview" zoomScale="55" zoomScaleNormal="70" zoomScaleSheetLayoutView="55" workbookViewId="0" topLeftCell="A1">
      <pane xSplit="1" ySplit="9" topLeftCell="B10" activePane="bottomRight" state="frozen"/>
      <selection pane="topLeft" activeCell="A1" sqref="A1"/>
      <selection pane="topRight" activeCell="A1" sqref="A1"/>
      <selection pane="bottomLeft" activeCell="A1" sqref="A1"/>
      <selection pane="bottomRight" activeCell="C3" sqref="C3"/>
    </sheetView>
  </sheetViews>
  <sheetFormatPr defaultColWidth="9.00390625" defaultRowHeight="16.5"/>
  <cols>
    <col min="1" max="1" width="13.625" style="158" customWidth="1"/>
    <col min="2" max="5" width="18.50390625" style="11" customWidth="1"/>
    <col min="6" max="13" width="11.00390625" style="11" customWidth="1"/>
    <col min="14" max="16384" width="9.00390625" style="11" customWidth="1"/>
  </cols>
  <sheetData>
    <row r="1" spans="1:13" s="158" customFormat="1" ht="18" customHeight="1">
      <c r="A1" s="157" t="s">
        <v>1077</v>
      </c>
      <c r="M1" s="159" t="s">
        <v>0</v>
      </c>
    </row>
    <row r="2" spans="1:13" s="158" customFormat="1" ht="24.75" customHeight="1">
      <c r="A2" s="716" t="s">
        <v>1155</v>
      </c>
      <c r="B2" s="716"/>
      <c r="C2" s="716"/>
      <c r="D2" s="716"/>
      <c r="E2" s="716"/>
      <c r="F2" s="686" t="s">
        <v>243</v>
      </c>
      <c r="G2" s="686"/>
      <c r="H2" s="686"/>
      <c r="I2" s="686"/>
      <c r="J2" s="686"/>
      <c r="K2" s="686"/>
      <c r="L2" s="686"/>
      <c r="M2" s="686"/>
    </row>
    <row r="3" spans="1:13" s="158" customFormat="1" ht="15" customHeight="1" thickBot="1">
      <c r="A3" s="160"/>
      <c r="E3" s="161" t="s">
        <v>1156</v>
      </c>
      <c r="M3" s="159" t="s">
        <v>244</v>
      </c>
    </row>
    <row r="4" spans="1:13" s="158" customFormat="1" ht="21" customHeight="1">
      <c r="A4" s="688" t="s">
        <v>676</v>
      </c>
      <c r="B4" s="733" t="s">
        <v>680</v>
      </c>
      <c r="C4" s="720"/>
      <c r="D4" s="720"/>
      <c r="E4" s="720"/>
      <c r="F4" s="718" t="s">
        <v>678</v>
      </c>
      <c r="G4" s="719"/>
      <c r="H4" s="720" t="s">
        <v>679</v>
      </c>
      <c r="I4" s="720"/>
      <c r="J4" s="720" t="s">
        <v>890</v>
      </c>
      <c r="K4" s="720"/>
      <c r="L4" s="720" t="s">
        <v>891</v>
      </c>
      <c r="M4" s="736"/>
    </row>
    <row r="5" spans="1:14" s="158" customFormat="1" ht="21" customHeight="1">
      <c r="A5" s="683"/>
      <c r="B5" s="738" t="s">
        <v>892</v>
      </c>
      <c r="C5" s="724"/>
      <c r="D5" s="724"/>
      <c r="E5" s="724"/>
      <c r="F5" s="734"/>
      <c r="G5" s="735"/>
      <c r="H5" s="726"/>
      <c r="I5" s="726"/>
      <c r="J5" s="726"/>
      <c r="K5" s="726"/>
      <c r="L5" s="726"/>
      <c r="M5" s="737"/>
      <c r="N5" s="179"/>
    </row>
    <row r="6" spans="1:14" s="158" customFormat="1" ht="21" customHeight="1">
      <c r="A6" s="683"/>
      <c r="B6" s="297" t="s">
        <v>1157</v>
      </c>
      <c r="C6" s="259" t="s">
        <v>893</v>
      </c>
      <c r="D6" s="739" t="s">
        <v>684</v>
      </c>
      <c r="E6" s="740"/>
      <c r="F6" s="734" t="s">
        <v>894</v>
      </c>
      <c r="G6" s="735"/>
      <c r="H6" s="737" t="s">
        <v>895</v>
      </c>
      <c r="I6" s="735"/>
      <c r="J6" s="737" t="s">
        <v>896</v>
      </c>
      <c r="K6" s="735"/>
      <c r="L6" s="737" t="s">
        <v>897</v>
      </c>
      <c r="M6" s="734"/>
      <c r="N6" s="179"/>
    </row>
    <row r="7" spans="1:14" s="158" customFormat="1" ht="21" customHeight="1">
      <c r="A7" s="683" t="s">
        <v>898</v>
      </c>
      <c r="B7" s="298" t="s">
        <v>899</v>
      </c>
      <c r="C7" s="261" t="s">
        <v>900</v>
      </c>
      <c r="D7" s="680" t="s">
        <v>901</v>
      </c>
      <c r="E7" s="678"/>
      <c r="F7" s="741"/>
      <c r="G7" s="678"/>
      <c r="H7" s="680"/>
      <c r="I7" s="678"/>
      <c r="J7" s="680"/>
      <c r="K7" s="678"/>
      <c r="L7" s="680"/>
      <c r="M7" s="741"/>
      <c r="N7" s="179"/>
    </row>
    <row r="8" spans="1:14" s="158" customFormat="1" ht="21" customHeight="1">
      <c r="A8" s="683"/>
      <c r="B8" s="299" t="s">
        <v>685</v>
      </c>
      <c r="C8" s="270" t="s">
        <v>685</v>
      </c>
      <c r="D8" s="271" t="s">
        <v>685</v>
      </c>
      <c r="E8" s="271" t="s">
        <v>686</v>
      </c>
      <c r="F8" s="270" t="s">
        <v>685</v>
      </c>
      <c r="G8" s="271" t="s">
        <v>686</v>
      </c>
      <c r="H8" s="271" t="s">
        <v>687</v>
      </c>
      <c r="I8" s="271" t="s">
        <v>686</v>
      </c>
      <c r="J8" s="272" t="s">
        <v>689</v>
      </c>
      <c r="K8" s="271" t="s">
        <v>686</v>
      </c>
      <c r="L8" s="271" t="s">
        <v>685</v>
      </c>
      <c r="M8" s="276" t="s">
        <v>686</v>
      </c>
      <c r="N8" s="179"/>
    </row>
    <row r="9" spans="1:14" s="158" customFormat="1" ht="21" customHeight="1" thickBot="1">
      <c r="A9" s="684"/>
      <c r="B9" s="300" t="s">
        <v>902</v>
      </c>
      <c r="C9" s="243" t="s">
        <v>902</v>
      </c>
      <c r="D9" s="243" t="s">
        <v>902</v>
      </c>
      <c r="E9" s="278" t="s">
        <v>903</v>
      </c>
      <c r="F9" s="245" t="s">
        <v>902</v>
      </c>
      <c r="G9" s="278" t="s">
        <v>903</v>
      </c>
      <c r="H9" s="243" t="s">
        <v>904</v>
      </c>
      <c r="I9" s="278" t="s">
        <v>903</v>
      </c>
      <c r="J9" s="243" t="s">
        <v>905</v>
      </c>
      <c r="K9" s="278" t="s">
        <v>903</v>
      </c>
      <c r="L9" s="243" t="s">
        <v>902</v>
      </c>
      <c r="M9" s="279" t="s">
        <v>903</v>
      </c>
      <c r="N9" s="179"/>
    </row>
    <row r="10" spans="1:13" s="14" customFormat="1" ht="58.5" customHeight="1">
      <c r="A10" s="203" t="s">
        <v>498</v>
      </c>
      <c r="B10" s="54" t="s">
        <v>906</v>
      </c>
      <c r="C10" s="54" t="s">
        <v>906</v>
      </c>
      <c r="D10" s="84">
        <v>1972</v>
      </c>
      <c r="E10" s="84">
        <v>26125</v>
      </c>
      <c r="F10" s="106">
        <v>0</v>
      </c>
      <c r="G10" s="106">
        <v>0</v>
      </c>
      <c r="H10" s="84">
        <v>32</v>
      </c>
      <c r="I10" s="84">
        <v>766</v>
      </c>
      <c r="J10" s="84">
        <v>8377</v>
      </c>
      <c r="K10" s="84">
        <v>16754</v>
      </c>
      <c r="L10" s="84">
        <v>174</v>
      </c>
      <c r="M10" s="84">
        <v>2660</v>
      </c>
    </row>
    <row r="11" spans="1:13" ht="58.5" customHeight="1">
      <c r="A11" s="203" t="s">
        <v>499</v>
      </c>
      <c r="B11" s="54" t="s">
        <v>906</v>
      </c>
      <c r="C11" s="54" t="s">
        <v>906</v>
      </c>
      <c r="D11" s="84">
        <v>2044</v>
      </c>
      <c r="E11" s="84">
        <v>18959</v>
      </c>
      <c r="F11" s="106">
        <v>0</v>
      </c>
      <c r="G11" s="106">
        <v>0</v>
      </c>
      <c r="H11" s="84">
        <v>20</v>
      </c>
      <c r="I11" s="84">
        <v>580</v>
      </c>
      <c r="J11" s="84">
        <v>9720</v>
      </c>
      <c r="K11" s="84">
        <v>19440</v>
      </c>
      <c r="L11" s="84">
        <v>1105</v>
      </c>
      <c r="M11" s="84">
        <v>2491</v>
      </c>
    </row>
    <row r="12" spans="1:13" ht="58.5" customHeight="1">
      <c r="A12" s="203" t="s">
        <v>500</v>
      </c>
      <c r="B12" s="54" t="s">
        <v>906</v>
      </c>
      <c r="C12" s="54" t="s">
        <v>906</v>
      </c>
      <c r="D12" s="84">
        <v>2147</v>
      </c>
      <c r="E12" s="84">
        <v>21172</v>
      </c>
      <c r="F12" s="106">
        <v>0</v>
      </c>
      <c r="G12" s="106">
        <v>0</v>
      </c>
      <c r="H12" s="84">
        <v>23</v>
      </c>
      <c r="I12" s="84">
        <v>577</v>
      </c>
      <c r="J12" s="84">
        <v>12217</v>
      </c>
      <c r="K12" s="84">
        <v>24434</v>
      </c>
      <c r="L12" s="84">
        <v>1613</v>
      </c>
      <c r="M12" s="84">
        <v>3276</v>
      </c>
    </row>
    <row r="13" spans="1:17" ht="58.5" customHeight="1">
      <c r="A13" s="203" t="s">
        <v>501</v>
      </c>
      <c r="B13" s="97">
        <v>221</v>
      </c>
      <c r="C13" s="84">
        <v>1</v>
      </c>
      <c r="D13" s="84">
        <v>2187</v>
      </c>
      <c r="E13" s="84">
        <v>23765</v>
      </c>
      <c r="F13" s="106">
        <v>0</v>
      </c>
      <c r="G13" s="106">
        <v>0</v>
      </c>
      <c r="H13" s="106">
        <v>0</v>
      </c>
      <c r="I13" s="106">
        <v>0</v>
      </c>
      <c r="J13" s="84">
        <v>8635</v>
      </c>
      <c r="K13" s="84">
        <v>17270</v>
      </c>
      <c r="L13" s="84">
        <v>1562</v>
      </c>
      <c r="M13" s="84">
        <v>3631</v>
      </c>
      <c r="O13" s="135"/>
      <c r="P13" s="155"/>
      <c r="Q13" s="135"/>
    </row>
    <row r="14" spans="1:13" ht="58.5" customHeight="1">
      <c r="A14" s="203" t="s">
        <v>502</v>
      </c>
      <c r="B14" s="97">
        <v>496</v>
      </c>
      <c r="C14" s="84">
        <v>2</v>
      </c>
      <c r="D14" s="84">
        <v>2386</v>
      </c>
      <c r="E14" s="84">
        <v>35586</v>
      </c>
      <c r="F14" s="106">
        <v>0</v>
      </c>
      <c r="G14" s="106">
        <v>0</v>
      </c>
      <c r="H14" s="106">
        <v>0</v>
      </c>
      <c r="I14" s="106">
        <v>0</v>
      </c>
      <c r="J14" s="84">
        <v>12984</v>
      </c>
      <c r="K14" s="84">
        <v>29207</v>
      </c>
      <c r="L14" s="84">
        <v>28</v>
      </c>
      <c r="M14" s="84">
        <v>128</v>
      </c>
    </row>
    <row r="15" spans="1:13" ht="58.5" customHeight="1">
      <c r="A15" s="203" t="s">
        <v>503</v>
      </c>
      <c r="B15" s="97">
        <v>790</v>
      </c>
      <c r="C15" s="84">
        <v>1</v>
      </c>
      <c r="D15" s="84">
        <v>2369</v>
      </c>
      <c r="E15" s="84">
        <v>28823</v>
      </c>
      <c r="F15" s="106">
        <v>0</v>
      </c>
      <c r="G15" s="106">
        <v>0</v>
      </c>
      <c r="H15" s="106">
        <v>0</v>
      </c>
      <c r="I15" s="106">
        <v>0</v>
      </c>
      <c r="J15" s="84">
        <v>14716</v>
      </c>
      <c r="K15" s="84">
        <v>29432</v>
      </c>
      <c r="L15" s="84">
        <v>26</v>
      </c>
      <c r="M15" s="84">
        <v>137</v>
      </c>
    </row>
    <row r="16" spans="1:13" ht="58.5" customHeight="1">
      <c r="A16" s="203" t="s">
        <v>504</v>
      </c>
      <c r="B16" s="80" t="s">
        <v>906</v>
      </c>
      <c r="C16" s="81" t="s">
        <v>907</v>
      </c>
      <c r="D16" s="91">
        <v>1095</v>
      </c>
      <c r="E16" s="91">
        <v>25965</v>
      </c>
      <c r="F16" s="108">
        <v>0</v>
      </c>
      <c r="G16" s="108">
        <v>0</v>
      </c>
      <c r="H16" s="108">
        <v>0</v>
      </c>
      <c r="I16" s="108">
        <v>0</v>
      </c>
      <c r="J16" s="91">
        <v>17972</v>
      </c>
      <c r="K16" s="91">
        <v>35944</v>
      </c>
      <c r="L16" s="91">
        <v>31</v>
      </c>
      <c r="M16" s="91">
        <v>159</v>
      </c>
    </row>
    <row r="17" spans="1:13" s="14" customFormat="1" ht="58.5" customHeight="1">
      <c r="A17" s="203" t="s">
        <v>505</v>
      </c>
      <c r="B17" s="54">
        <v>240</v>
      </c>
      <c r="C17" s="54">
        <v>4</v>
      </c>
      <c r="D17" s="84">
        <v>1848</v>
      </c>
      <c r="E17" s="84">
        <v>38920.305</v>
      </c>
      <c r="F17" s="108">
        <v>0</v>
      </c>
      <c r="G17" s="108">
        <v>0</v>
      </c>
      <c r="H17" s="108">
        <v>0</v>
      </c>
      <c r="I17" s="108">
        <v>0</v>
      </c>
      <c r="J17" s="84">
        <v>19970</v>
      </c>
      <c r="K17" s="84">
        <v>39940</v>
      </c>
      <c r="L17" s="54">
        <v>41</v>
      </c>
      <c r="M17" s="54">
        <v>205</v>
      </c>
    </row>
    <row r="18" spans="1:13" s="14" customFormat="1" ht="58.5" customHeight="1">
      <c r="A18" s="203" t="s">
        <v>882</v>
      </c>
      <c r="B18" s="70">
        <v>710</v>
      </c>
      <c r="C18" s="70">
        <v>14</v>
      </c>
      <c r="D18" s="70">
        <v>1831</v>
      </c>
      <c r="E18" s="91">
        <f>41651634/1000</f>
        <v>41651.634</v>
      </c>
      <c r="F18" s="108">
        <v>0</v>
      </c>
      <c r="G18" s="108">
        <v>0</v>
      </c>
      <c r="H18" s="108">
        <v>0</v>
      </c>
      <c r="I18" s="108">
        <v>0</v>
      </c>
      <c r="J18" s="84">
        <v>21513</v>
      </c>
      <c r="K18" s="84">
        <v>43162</v>
      </c>
      <c r="L18" s="70">
        <v>46</v>
      </c>
      <c r="M18" s="70">
        <v>445</v>
      </c>
    </row>
    <row r="19" spans="1:13" s="14" customFormat="1" ht="58.5" customHeight="1" thickBot="1">
      <c r="A19" s="204" t="s">
        <v>1202</v>
      </c>
      <c r="B19" s="63">
        <v>399</v>
      </c>
      <c r="C19" s="63">
        <v>4</v>
      </c>
      <c r="D19" s="96">
        <v>1667</v>
      </c>
      <c r="E19" s="96">
        <f>37773703/1000</f>
        <v>37773.703</v>
      </c>
      <c r="F19" s="110">
        <v>0</v>
      </c>
      <c r="G19" s="110">
        <v>0</v>
      </c>
      <c r="H19" s="110">
        <v>0</v>
      </c>
      <c r="I19" s="110">
        <v>0</v>
      </c>
      <c r="J19" s="96">
        <v>23247</v>
      </c>
      <c r="K19" s="96">
        <v>46494</v>
      </c>
      <c r="L19" s="96">
        <v>75</v>
      </c>
      <c r="M19" s="96">
        <v>740</v>
      </c>
    </row>
    <row r="20" spans="1:6" ht="15" customHeight="1">
      <c r="A20" s="174"/>
      <c r="F20" s="50"/>
    </row>
    <row r="21" spans="5:13" ht="15" customHeight="1">
      <c r="E21" s="14"/>
      <c r="F21" s="129"/>
      <c r="G21" s="14"/>
      <c r="H21" s="14"/>
      <c r="I21" s="14"/>
      <c r="J21" s="14"/>
      <c r="K21" s="14"/>
      <c r="L21" s="14"/>
      <c r="M21" s="14"/>
    </row>
    <row r="22" spans="5:13" ht="12.75">
      <c r="E22" s="14"/>
      <c r="F22" s="14"/>
      <c r="G22" s="14"/>
      <c r="H22" s="14"/>
      <c r="I22" s="14"/>
      <c r="J22" s="14"/>
      <c r="K22" s="14"/>
      <c r="L22" s="14"/>
      <c r="M22" s="14"/>
    </row>
  </sheetData>
  <sheetProtection/>
  <mergeCells count="16">
    <mergeCell ref="F6:G7"/>
    <mergeCell ref="H6:I7"/>
    <mergeCell ref="J6:K7"/>
    <mergeCell ref="L6:M7"/>
    <mergeCell ref="A7:A9"/>
    <mergeCell ref="D7:E7"/>
    <mergeCell ref="A2:E2"/>
    <mergeCell ref="F2:M2"/>
    <mergeCell ref="A4:A6"/>
    <mergeCell ref="B4:E4"/>
    <mergeCell ref="F4:G5"/>
    <mergeCell ref="H4:I5"/>
    <mergeCell ref="J4:K5"/>
    <mergeCell ref="L4:M5"/>
    <mergeCell ref="B5:E5"/>
    <mergeCell ref="D6:E6"/>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colBreaks count="1" manualBreakCount="1">
    <brk id="5" max="65535" man="1"/>
  </colBreaks>
  <legacyDrawing r:id="rId2"/>
</worksheet>
</file>

<file path=xl/worksheets/sheet13.xml><?xml version="1.0" encoding="utf-8"?>
<worksheet xmlns="http://schemas.openxmlformats.org/spreadsheetml/2006/main" xmlns:r="http://schemas.openxmlformats.org/officeDocument/2006/relationships">
  <dimension ref="A1:AB25"/>
  <sheetViews>
    <sheetView showGridLines="0" view="pageBreakPreview" zoomScale="55" zoomScaleNormal="120" zoomScaleSheetLayoutView="55"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L2" sqref="L2:W2"/>
    </sheetView>
  </sheetViews>
  <sheetFormatPr defaultColWidth="9.00390625" defaultRowHeight="16.5"/>
  <cols>
    <col min="1" max="1" width="14.00390625" style="158" customWidth="1"/>
    <col min="2" max="5" width="8.375" style="11" customWidth="1"/>
    <col min="6" max="11" width="6.75390625" style="11" customWidth="1"/>
    <col min="12" max="19" width="7.00390625" style="11" customWidth="1"/>
    <col min="20" max="21" width="8.75390625" style="11" customWidth="1"/>
    <col min="22" max="23" width="7.375" style="11" customWidth="1"/>
    <col min="24" max="24" width="9.00390625" style="11" customWidth="1"/>
    <col min="25" max="26" width="9.00390625" style="11" hidden="1" customWidth="1"/>
    <col min="27" max="29" width="0" style="11" hidden="1" customWidth="1"/>
    <col min="30" max="16384" width="9.00390625" style="11" customWidth="1"/>
  </cols>
  <sheetData>
    <row r="1" spans="1:23" s="158" customFormat="1" ht="18" customHeight="1">
      <c r="A1" s="157" t="s">
        <v>1077</v>
      </c>
      <c r="W1" s="159" t="s">
        <v>908</v>
      </c>
    </row>
    <row r="2" spans="1:23" s="158" customFormat="1" ht="24.75" customHeight="1">
      <c r="A2" s="716" t="s">
        <v>1360</v>
      </c>
      <c r="B2" s="716"/>
      <c r="C2" s="716"/>
      <c r="D2" s="716"/>
      <c r="E2" s="716"/>
      <c r="F2" s="716"/>
      <c r="G2" s="716"/>
      <c r="H2" s="716"/>
      <c r="I2" s="716"/>
      <c r="J2" s="716"/>
      <c r="K2" s="716"/>
      <c r="L2" s="686" t="s">
        <v>909</v>
      </c>
      <c r="M2" s="686"/>
      <c r="N2" s="686"/>
      <c r="O2" s="686"/>
      <c r="P2" s="686"/>
      <c r="Q2" s="686"/>
      <c r="R2" s="686"/>
      <c r="S2" s="686"/>
      <c r="T2" s="686"/>
      <c r="U2" s="686"/>
      <c r="V2" s="686"/>
      <c r="W2" s="686"/>
    </row>
    <row r="3" spans="1:23" s="158" customFormat="1" ht="15" customHeight="1" thickBot="1">
      <c r="A3" s="160"/>
      <c r="B3" s="160"/>
      <c r="C3" s="160"/>
      <c r="D3" s="160"/>
      <c r="E3" s="742" t="s">
        <v>1361</v>
      </c>
      <c r="F3" s="742"/>
      <c r="G3" s="742"/>
      <c r="H3" s="742"/>
      <c r="I3" s="742"/>
      <c r="J3" s="742"/>
      <c r="K3" s="742"/>
      <c r="O3" s="742" t="s">
        <v>246</v>
      </c>
      <c r="P3" s="742"/>
      <c r="Q3" s="742"/>
      <c r="R3" s="742"/>
      <c r="S3" s="742"/>
      <c r="T3" s="742"/>
      <c r="U3" s="742"/>
      <c r="V3" s="742"/>
      <c r="W3" s="742"/>
    </row>
    <row r="4" spans="1:23" s="158" customFormat="1" ht="18" customHeight="1">
      <c r="A4" s="688" t="s">
        <v>1362</v>
      </c>
      <c r="B4" s="689" t="s">
        <v>1363</v>
      </c>
      <c r="C4" s="718"/>
      <c r="D4" s="718"/>
      <c r="E4" s="719"/>
      <c r="F4" s="709" t="s">
        <v>1364</v>
      </c>
      <c r="G4" s="691"/>
      <c r="H4" s="709" t="s">
        <v>1365</v>
      </c>
      <c r="I4" s="691"/>
      <c r="J4" s="709" t="s">
        <v>1366</v>
      </c>
      <c r="K4" s="691"/>
      <c r="L4" s="690" t="s">
        <v>1367</v>
      </c>
      <c r="M4" s="691"/>
      <c r="N4" s="709" t="s">
        <v>1368</v>
      </c>
      <c r="O4" s="691"/>
      <c r="P4" s="743" t="s">
        <v>1369</v>
      </c>
      <c r="Q4" s="743"/>
      <c r="R4" s="743" t="s">
        <v>1370</v>
      </c>
      <c r="S4" s="743"/>
      <c r="T4" s="713" t="s">
        <v>1371</v>
      </c>
      <c r="U4" s="713"/>
      <c r="V4" s="713"/>
      <c r="W4" s="676"/>
    </row>
    <row r="5" spans="1:23" s="158" customFormat="1" ht="18" customHeight="1">
      <c r="A5" s="683"/>
      <c r="B5" s="723" t="s">
        <v>1074</v>
      </c>
      <c r="C5" s="685"/>
      <c r="D5" s="685"/>
      <c r="E5" s="679"/>
      <c r="F5" s="710"/>
      <c r="G5" s="700"/>
      <c r="H5" s="710"/>
      <c r="I5" s="700"/>
      <c r="J5" s="710"/>
      <c r="K5" s="700"/>
      <c r="L5" s="699"/>
      <c r="M5" s="700"/>
      <c r="N5" s="710"/>
      <c r="O5" s="700"/>
      <c r="P5" s="725"/>
      <c r="Q5" s="725"/>
      <c r="R5" s="725"/>
      <c r="S5" s="725"/>
      <c r="T5" s="744" t="s">
        <v>247</v>
      </c>
      <c r="U5" s="744"/>
      <c r="V5" s="744"/>
      <c r="W5" s="677"/>
    </row>
    <row r="6" spans="1:25" s="158" customFormat="1" ht="34.5" customHeight="1">
      <c r="A6" s="683"/>
      <c r="B6" s="711" t="s">
        <v>681</v>
      </c>
      <c r="C6" s="179"/>
      <c r="D6" s="696" t="s">
        <v>671</v>
      </c>
      <c r="E6" s="275"/>
      <c r="F6" s="745" t="s">
        <v>248</v>
      </c>
      <c r="G6" s="746"/>
      <c r="H6" s="745" t="s">
        <v>249</v>
      </c>
      <c r="I6" s="746"/>
      <c r="J6" s="701" t="s">
        <v>250</v>
      </c>
      <c r="K6" s="702"/>
      <c r="L6" s="747" t="s">
        <v>251</v>
      </c>
      <c r="M6" s="746"/>
      <c r="N6" s="745" t="s">
        <v>252</v>
      </c>
      <c r="O6" s="746"/>
      <c r="P6" s="749" t="s">
        <v>253</v>
      </c>
      <c r="Q6" s="749"/>
      <c r="R6" s="749" t="s">
        <v>254</v>
      </c>
      <c r="S6" s="749"/>
      <c r="T6" s="240" t="s">
        <v>682</v>
      </c>
      <c r="U6" s="240" t="s">
        <v>683</v>
      </c>
      <c r="V6" s="725" t="s">
        <v>684</v>
      </c>
      <c r="W6" s="710"/>
      <c r="Y6" s="409" t="s">
        <v>1372</v>
      </c>
    </row>
    <row r="7" spans="1:23" s="158" customFormat="1" ht="34.5" customHeight="1">
      <c r="A7" s="683" t="s">
        <v>231</v>
      </c>
      <c r="B7" s="698"/>
      <c r="C7" s="295" t="s">
        <v>910</v>
      </c>
      <c r="D7" s="710"/>
      <c r="E7" s="296" t="s">
        <v>911</v>
      </c>
      <c r="F7" s="701"/>
      <c r="G7" s="702"/>
      <c r="H7" s="701"/>
      <c r="I7" s="702"/>
      <c r="J7" s="701"/>
      <c r="K7" s="702"/>
      <c r="L7" s="748"/>
      <c r="M7" s="702"/>
      <c r="N7" s="701"/>
      <c r="O7" s="702"/>
      <c r="P7" s="693"/>
      <c r="Q7" s="693"/>
      <c r="R7" s="693"/>
      <c r="S7" s="693"/>
      <c r="T7" s="241" t="s">
        <v>912</v>
      </c>
      <c r="U7" s="241" t="s">
        <v>913</v>
      </c>
      <c r="V7" s="744" t="s">
        <v>914</v>
      </c>
      <c r="W7" s="677"/>
    </row>
    <row r="8" spans="1:23" s="158" customFormat="1" ht="30" customHeight="1">
      <c r="A8" s="683"/>
      <c r="B8" s="727" t="s">
        <v>232</v>
      </c>
      <c r="C8" s="750" t="s">
        <v>915</v>
      </c>
      <c r="D8" s="725" t="s">
        <v>916</v>
      </c>
      <c r="E8" s="750" t="s">
        <v>917</v>
      </c>
      <c r="F8" s="165" t="s">
        <v>685</v>
      </c>
      <c r="G8" s="156" t="s">
        <v>686</v>
      </c>
      <c r="H8" s="165" t="s">
        <v>685</v>
      </c>
      <c r="I8" s="156" t="s">
        <v>686</v>
      </c>
      <c r="J8" s="156" t="s">
        <v>685</v>
      </c>
      <c r="K8" s="156" t="s">
        <v>686</v>
      </c>
      <c r="L8" s="165" t="s">
        <v>687</v>
      </c>
      <c r="M8" s="156" t="s">
        <v>686</v>
      </c>
      <c r="N8" s="240" t="s">
        <v>685</v>
      </c>
      <c r="O8" s="156" t="s">
        <v>686</v>
      </c>
      <c r="P8" s="165" t="s">
        <v>685</v>
      </c>
      <c r="Q8" s="156" t="s">
        <v>686</v>
      </c>
      <c r="R8" s="165" t="s">
        <v>685</v>
      </c>
      <c r="S8" s="156" t="s">
        <v>686</v>
      </c>
      <c r="T8" s="165" t="s">
        <v>685</v>
      </c>
      <c r="U8" s="165" t="s">
        <v>685</v>
      </c>
      <c r="V8" s="156" t="s">
        <v>685</v>
      </c>
      <c r="W8" s="250" t="s">
        <v>686</v>
      </c>
    </row>
    <row r="9" spans="1:26" s="158" customFormat="1" ht="30" customHeight="1" thickBot="1">
      <c r="A9" s="684"/>
      <c r="B9" s="728"/>
      <c r="C9" s="751"/>
      <c r="D9" s="729"/>
      <c r="E9" s="751"/>
      <c r="F9" s="245" t="s">
        <v>918</v>
      </c>
      <c r="G9" s="243" t="s">
        <v>919</v>
      </c>
      <c r="H9" s="245" t="s">
        <v>918</v>
      </c>
      <c r="I9" s="243" t="s">
        <v>919</v>
      </c>
      <c r="J9" s="243" t="s">
        <v>918</v>
      </c>
      <c r="K9" s="243" t="s">
        <v>919</v>
      </c>
      <c r="L9" s="245" t="s">
        <v>920</v>
      </c>
      <c r="M9" s="243" t="s">
        <v>919</v>
      </c>
      <c r="N9" s="245" t="s">
        <v>918</v>
      </c>
      <c r="O9" s="243" t="s">
        <v>919</v>
      </c>
      <c r="P9" s="245" t="s">
        <v>918</v>
      </c>
      <c r="Q9" s="243" t="s">
        <v>919</v>
      </c>
      <c r="R9" s="245" t="s">
        <v>918</v>
      </c>
      <c r="S9" s="243" t="s">
        <v>919</v>
      </c>
      <c r="T9" s="245" t="s">
        <v>921</v>
      </c>
      <c r="U9" s="245" t="s">
        <v>921</v>
      </c>
      <c r="V9" s="243" t="s">
        <v>918</v>
      </c>
      <c r="W9" s="246" t="s">
        <v>919</v>
      </c>
      <c r="Y9" s="158" t="s">
        <v>688</v>
      </c>
      <c r="Z9" s="158" t="s">
        <v>687</v>
      </c>
    </row>
    <row r="10" spans="1:26" ht="43.5" customHeight="1">
      <c r="A10" s="203" t="s">
        <v>501</v>
      </c>
      <c r="B10" s="97">
        <v>435</v>
      </c>
      <c r="C10" s="105">
        <f>B10/Y10*100</f>
        <v>0.0633858537345925</v>
      </c>
      <c r="D10" s="84">
        <v>1415</v>
      </c>
      <c r="E10" s="105">
        <f>D10/Z10*100</f>
        <v>0.07028244602780007</v>
      </c>
      <c r="F10" s="54" t="s">
        <v>922</v>
      </c>
      <c r="G10" s="54" t="s">
        <v>922</v>
      </c>
      <c r="H10" s="54" t="s">
        <v>922</v>
      </c>
      <c r="I10" s="54" t="s">
        <v>922</v>
      </c>
      <c r="J10" s="54" t="s">
        <v>922</v>
      </c>
      <c r="K10" s="54" t="s">
        <v>922</v>
      </c>
      <c r="L10" s="54" t="s">
        <v>922</v>
      </c>
      <c r="M10" s="54" t="s">
        <v>922</v>
      </c>
      <c r="N10" s="54" t="s">
        <v>922</v>
      </c>
      <c r="O10" s="54" t="s">
        <v>922</v>
      </c>
      <c r="P10" s="54" t="s">
        <v>922</v>
      </c>
      <c r="Q10" s="54" t="s">
        <v>922</v>
      </c>
      <c r="R10" s="54" t="s">
        <v>922</v>
      </c>
      <c r="S10" s="54" t="s">
        <v>922</v>
      </c>
      <c r="T10" s="54" t="s">
        <v>922</v>
      </c>
      <c r="U10" s="54" t="s">
        <v>922</v>
      </c>
      <c r="V10" s="54" t="s">
        <v>922</v>
      </c>
      <c r="W10" s="54" t="s">
        <v>922</v>
      </c>
      <c r="Y10" s="104">
        <v>686273</v>
      </c>
      <c r="Z10" s="104">
        <v>2013305</v>
      </c>
    </row>
    <row r="11" spans="1:26" ht="43.5" customHeight="1">
      <c r="A11" s="203" t="s">
        <v>502</v>
      </c>
      <c r="B11" s="97">
        <v>1758</v>
      </c>
      <c r="C11" s="105">
        <f>B11/Y11*100</f>
        <v>0.2504890806423805</v>
      </c>
      <c r="D11" s="84">
        <v>5499</v>
      </c>
      <c r="E11" s="105">
        <f>D11/Z11*100</f>
        <v>0.27086521709361966</v>
      </c>
      <c r="F11" s="106">
        <v>0</v>
      </c>
      <c r="G11" s="106">
        <v>0</v>
      </c>
      <c r="H11" s="106">
        <v>0</v>
      </c>
      <c r="I11" s="106">
        <v>0</v>
      </c>
      <c r="J11" s="106">
        <v>0</v>
      </c>
      <c r="K11" s="106">
        <v>0</v>
      </c>
      <c r="L11" s="106">
        <v>0</v>
      </c>
      <c r="M11" s="106">
        <v>0</v>
      </c>
      <c r="N11" s="106">
        <v>0</v>
      </c>
      <c r="O11" s="106">
        <v>0</v>
      </c>
      <c r="P11" s="106">
        <v>0</v>
      </c>
      <c r="Q11" s="106">
        <v>0</v>
      </c>
      <c r="R11" s="106">
        <v>0</v>
      </c>
      <c r="S11" s="106">
        <v>0</v>
      </c>
      <c r="T11" s="84">
        <v>110</v>
      </c>
      <c r="U11" s="84">
        <v>1</v>
      </c>
      <c r="V11" s="84">
        <v>99</v>
      </c>
      <c r="W11" s="84">
        <v>1906</v>
      </c>
      <c r="Y11" s="104">
        <v>701827</v>
      </c>
      <c r="Z11" s="104">
        <v>2030161</v>
      </c>
    </row>
    <row r="12" spans="1:26" s="14" customFormat="1" ht="43.5" customHeight="1">
      <c r="A12" s="203" t="s">
        <v>503</v>
      </c>
      <c r="B12" s="97">
        <v>2166</v>
      </c>
      <c r="C12" s="105">
        <f>B12/Y12*100</f>
        <v>0.3022682679721232</v>
      </c>
      <c r="D12" s="84">
        <v>6733</v>
      </c>
      <c r="E12" s="105">
        <f>D12/Z12*100</f>
        <v>0.32939942456616195</v>
      </c>
      <c r="F12" s="106">
        <v>0</v>
      </c>
      <c r="G12" s="106">
        <v>0</v>
      </c>
      <c r="H12" s="106">
        <v>0</v>
      </c>
      <c r="I12" s="106">
        <v>0</v>
      </c>
      <c r="J12" s="106">
        <v>0</v>
      </c>
      <c r="K12" s="106">
        <v>0</v>
      </c>
      <c r="L12" s="106">
        <v>0</v>
      </c>
      <c r="M12" s="106">
        <v>0</v>
      </c>
      <c r="N12" s="106">
        <v>0</v>
      </c>
      <c r="O12" s="106">
        <v>0</v>
      </c>
      <c r="P12" s="106">
        <v>0</v>
      </c>
      <c r="Q12" s="106">
        <v>0</v>
      </c>
      <c r="R12" s="106">
        <v>0</v>
      </c>
      <c r="S12" s="106">
        <v>0</v>
      </c>
      <c r="T12" s="84">
        <v>588</v>
      </c>
      <c r="U12" s="34" t="s">
        <v>82</v>
      </c>
      <c r="V12" s="84">
        <v>195</v>
      </c>
      <c r="W12" s="84">
        <v>6981</v>
      </c>
      <c r="Y12" s="104">
        <v>716582</v>
      </c>
      <c r="Z12" s="104">
        <v>2044023</v>
      </c>
    </row>
    <row r="13" spans="1:28" ht="43.5" customHeight="1">
      <c r="A13" s="203" t="s">
        <v>504</v>
      </c>
      <c r="B13" s="98">
        <v>2081</v>
      </c>
      <c r="C13" s="107">
        <f>B13/Y13*100</f>
        <v>0.28390022428254147</v>
      </c>
      <c r="D13" s="91">
        <v>6529</v>
      </c>
      <c r="E13" s="107">
        <f>D13/Z13*100</f>
        <v>0.317199202459472</v>
      </c>
      <c r="F13" s="108">
        <v>0</v>
      </c>
      <c r="G13" s="108">
        <v>0</v>
      </c>
      <c r="H13" s="108">
        <v>0</v>
      </c>
      <c r="I13" s="108">
        <v>0</v>
      </c>
      <c r="J13" s="108">
        <v>0</v>
      </c>
      <c r="K13" s="108">
        <v>0</v>
      </c>
      <c r="L13" s="108">
        <v>0</v>
      </c>
      <c r="M13" s="108">
        <v>0</v>
      </c>
      <c r="N13" s="108">
        <v>0</v>
      </c>
      <c r="O13" s="108">
        <v>0</v>
      </c>
      <c r="P13" s="108">
        <v>0</v>
      </c>
      <c r="Q13" s="108">
        <v>0</v>
      </c>
      <c r="R13" s="108">
        <v>0</v>
      </c>
      <c r="S13" s="108">
        <v>0</v>
      </c>
      <c r="T13" s="81" t="s">
        <v>92</v>
      </c>
      <c r="U13" s="81" t="s">
        <v>82</v>
      </c>
      <c r="V13" s="91">
        <v>165</v>
      </c>
      <c r="W13" s="91">
        <v>2631</v>
      </c>
      <c r="Y13" s="104">
        <v>733004</v>
      </c>
      <c r="Z13" s="104">
        <v>2058328</v>
      </c>
      <c r="AB13" s="155"/>
    </row>
    <row r="14" spans="1:26" s="14" customFormat="1" ht="43.5" customHeight="1">
      <c r="A14" s="203" t="s">
        <v>505</v>
      </c>
      <c r="B14" s="54">
        <v>1894</v>
      </c>
      <c r="C14" s="107">
        <f>B14/Y14*100</f>
        <v>0.25236475367787653</v>
      </c>
      <c r="D14" s="54">
        <v>5810</v>
      </c>
      <c r="E14" s="107">
        <f>D14/Z14*100</f>
        <v>0.27590726476649985</v>
      </c>
      <c r="F14" s="108">
        <v>0</v>
      </c>
      <c r="G14" s="108">
        <v>0</v>
      </c>
      <c r="H14" s="108">
        <v>0</v>
      </c>
      <c r="I14" s="108">
        <v>0</v>
      </c>
      <c r="J14" s="108">
        <v>0</v>
      </c>
      <c r="K14" s="108">
        <v>0</v>
      </c>
      <c r="L14" s="108">
        <v>0</v>
      </c>
      <c r="M14" s="108">
        <v>0</v>
      </c>
      <c r="N14" s="108">
        <v>0</v>
      </c>
      <c r="O14" s="108">
        <v>0</v>
      </c>
      <c r="P14" s="108">
        <v>0</v>
      </c>
      <c r="Q14" s="108">
        <v>0</v>
      </c>
      <c r="R14" s="108">
        <v>0</v>
      </c>
      <c r="S14" s="108">
        <v>0</v>
      </c>
      <c r="T14" s="54">
        <v>166</v>
      </c>
      <c r="U14" s="54" t="s">
        <v>82</v>
      </c>
      <c r="V14" s="70">
        <v>850</v>
      </c>
      <c r="W14" s="70">
        <v>18824</v>
      </c>
      <c r="Y14" s="111">
        <v>750501</v>
      </c>
      <c r="Z14" s="111">
        <v>2105780</v>
      </c>
    </row>
    <row r="15" spans="1:26" s="14" customFormat="1" ht="43.5" customHeight="1">
      <c r="A15" s="203" t="s">
        <v>882</v>
      </c>
      <c r="B15" s="128">
        <v>2111</v>
      </c>
      <c r="C15" s="107">
        <v>0.2738379076760229</v>
      </c>
      <c r="D15" s="54">
        <v>6411</v>
      </c>
      <c r="E15" s="107">
        <v>0.2984966218339733</v>
      </c>
      <c r="F15" s="108">
        <v>0</v>
      </c>
      <c r="G15" s="108">
        <v>0</v>
      </c>
      <c r="H15" s="108">
        <v>0</v>
      </c>
      <c r="I15" s="108">
        <v>0</v>
      </c>
      <c r="J15" s="108">
        <v>0</v>
      </c>
      <c r="K15" s="108">
        <v>0</v>
      </c>
      <c r="L15" s="108">
        <v>0</v>
      </c>
      <c r="M15" s="108">
        <v>0</v>
      </c>
      <c r="N15" s="108">
        <v>0</v>
      </c>
      <c r="O15" s="108">
        <v>0</v>
      </c>
      <c r="P15" s="108">
        <v>0</v>
      </c>
      <c r="Q15" s="108">
        <v>0</v>
      </c>
      <c r="R15" s="108">
        <v>0</v>
      </c>
      <c r="S15" s="108">
        <v>0</v>
      </c>
      <c r="T15" s="70">
        <v>584</v>
      </c>
      <c r="U15" s="70">
        <v>11</v>
      </c>
      <c r="V15" s="70">
        <v>849</v>
      </c>
      <c r="W15" s="70">
        <v>16420.782</v>
      </c>
      <c r="Y15" s="111">
        <f>'[3]RCRPC160'!$G$17</f>
        <v>770894</v>
      </c>
      <c r="Z15" s="104">
        <v>2147763</v>
      </c>
    </row>
    <row r="16" spans="1:28" s="14" customFormat="1" ht="43.5" customHeight="1">
      <c r="A16" s="203" t="s">
        <v>1203</v>
      </c>
      <c r="B16" s="54">
        <v>2964</v>
      </c>
      <c r="C16" s="410">
        <f>B16/Y16*100</f>
        <v>0.3750113869854348</v>
      </c>
      <c r="D16" s="54">
        <v>8866</v>
      </c>
      <c r="E16" s="107">
        <f>D16/Z16*100</f>
        <v>0.40520708934162764</v>
      </c>
      <c r="F16" s="108">
        <v>0</v>
      </c>
      <c r="G16" s="108">
        <v>0</v>
      </c>
      <c r="H16" s="108">
        <v>0</v>
      </c>
      <c r="I16" s="108">
        <v>0</v>
      </c>
      <c r="J16" s="108">
        <v>0</v>
      </c>
      <c r="K16" s="108">
        <v>0</v>
      </c>
      <c r="L16" s="108">
        <v>0</v>
      </c>
      <c r="M16" s="108">
        <v>0</v>
      </c>
      <c r="N16" s="108">
        <v>0</v>
      </c>
      <c r="O16" s="108">
        <v>0</v>
      </c>
      <c r="P16" s="108">
        <v>0</v>
      </c>
      <c r="Q16" s="108">
        <v>0</v>
      </c>
      <c r="R16" s="108">
        <v>0</v>
      </c>
      <c r="S16" s="108">
        <v>0</v>
      </c>
      <c r="T16" s="70">
        <v>361</v>
      </c>
      <c r="U16" s="54" t="s">
        <v>82</v>
      </c>
      <c r="V16" s="70">
        <v>1188</v>
      </c>
      <c r="W16" s="70">
        <f>28262886/1000</f>
        <v>28262.886</v>
      </c>
      <c r="X16" s="134"/>
      <c r="Y16" s="134">
        <v>790376</v>
      </c>
      <c r="Z16" s="134">
        <v>2188017</v>
      </c>
      <c r="AA16" s="134">
        <f>V17+V18+V19+V20</f>
        <v>1188</v>
      </c>
      <c r="AB16" s="134">
        <f>W17+W18+W19+W20</f>
        <v>28262.886000000002</v>
      </c>
    </row>
    <row r="17" spans="1:26" s="14" customFormat="1" ht="43.5" customHeight="1">
      <c r="A17" s="203" t="s">
        <v>1070</v>
      </c>
      <c r="B17" s="54">
        <v>2282</v>
      </c>
      <c r="C17" s="410">
        <f>B17/Y17*100</f>
        <v>0.29452419886707565</v>
      </c>
      <c r="D17" s="54">
        <v>6951</v>
      </c>
      <c r="E17" s="107">
        <f>D17/Z17*100</f>
        <v>0.3222532787451454</v>
      </c>
      <c r="F17" s="108">
        <v>0</v>
      </c>
      <c r="G17" s="108">
        <v>0</v>
      </c>
      <c r="H17" s="108">
        <v>0</v>
      </c>
      <c r="I17" s="108">
        <v>0</v>
      </c>
      <c r="J17" s="108">
        <v>0</v>
      </c>
      <c r="K17" s="108">
        <v>0</v>
      </c>
      <c r="L17" s="108">
        <v>0</v>
      </c>
      <c r="M17" s="108">
        <v>0</v>
      </c>
      <c r="N17" s="108">
        <v>0</v>
      </c>
      <c r="O17" s="108">
        <v>0</v>
      </c>
      <c r="P17" s="108">
        <v>0</v>
      </c>
      <c r="Q17" s="108">
        <v>0</v>
      </c>
      <c r="R17" s="108">
        <v>0</v>
      </c>
      <c r="S17" s="108">
        <v>0</v>
      </c>
      <c r="T17" s="70">
        <v>133</v>
      </c>
      <c r="U17" s="108">
        <v>0</v>
      </c>
      <c r="V17" s="70">
        <v>301</v>
      </c>
      <c r="W17" s="70">
        <f>8059800/1000</f>
        <v>8059.8</v>
      </c>
      <c r="Y17" s="104">
        <v>774809</v>
      </c>
      <c r="Z17" s="104">
        <v>2156999</v>
      </c>
    </row>
    <row r="18" spans="1:26" s="14" customFormat="1" ht="43.5" customHeight="1">
      <c r="A18" s="203" t="s">
        <v>1071</v>
      </c>
      <c r="B18" s="54">
        <v>2527</v>
      </c>
      <c r="C18" s="410">
        <f>B18/Y18*100</f>
        <v>0.32408113955495593</v>
      </c>
      <c r="D18" s="54">
        <v>7617</v>
      </c>
      <c r="E18" s="107">
        <f>D18/Z18*100</f>
        <v>0.35139987894534824</v>
      </c>
      <c r="F18" s="108">
        <v>0</v>
      </c>
      <c r="G18" s="108">
        <v>0</v>
      </c>
      <c r="H18" s="108">
        <v>0</v>
      </c>
      <c r="I18" s="108">
        <v>0</v>
      </c>
      <c r="J18" s="108">
        <v>0</v>
      </c>
      <c r="K18" s="108">
        <v>0</v>
      </c>
      <c r="L18" s="108">
        <v>0</v>
      </c>
      <c r="M18" s="108">
        <v>0</v>
      </c>
      <c r="N18" s="108">
        <v>0</v>
      </c>
      <c r="O18" s="108">
        <v>0</v>
      </c>
      <c r="P18" s="108">
        <v>0</v>
      </c>
      <c r="Q18" s="108">
        <v>0</v>
      </c>
      <c r="R18" s="108">
        <v>0</v>
      </c>
      <c r="S18" s="108">
        <v>0</v>
      </c>
      <c r="T18" s="70">
        <v>84</v>
      </c>
      <c r="U18" s="108">
        <v>0</v>
      </c>
      <c r="V18" s="70">
        <v>298</v>
      </c>
      <c r="W18" s="70">
        <f>6792184/1000</f>
        <v>6792.184</v>
      </c>
      <c r="Y18" s="104">
        <v>779743</v>
      </c>
      <c r="Z18" s="104">
        <v>2167616</v>
      </c>
    </row>
    <row r="19" spans="1:26" ht="43.5" customHeight="1">
      <c r="A19" s="203" t="s">
        <v>1072</v>
      </c>
      <c r="B19" s="54">
        <v>2823</v>
      </c>
      <c r="C19" s="410">
        <f>B19/Y19*100</f>
        <v>0.3587321999954253</v>
      </c>
      <c r="D19" s="54">
        <v>8511</v>
      </c>
      <c r="E19" s="107">
        <f>D19/Z19*100</f>
        <v>0.39068919391606355</v>
      </c>
      <c r="F19" s="108">
        <v>0</v>
      </c>
      <c r="G19" s="108">
        <v>0</v>
      </c>
      <c r="H19" s="108">
        <v>0</v>
      </c>
      <c r="I19" s="108">
        <v>0</v>
      </c>
      <c r="J19" s="108">
        <v>0</v>
      </c>
      <c r="K19" s="108">
        <v>0</v>
      </c>
      <c r="L19" s="108">
        <v>0</v>
      </c>
      <c r="M19" s="108">
        <v>0</v>
      </c>
      <c r="N19" s="108">
        <v>0</v>
      </c>
      <c r="O19" s="108">
        <v>0</v>
      </c>
      <c r="P19" s="108">
        <v>0</v>
      </c>
      <c r="Q19" s="108">
        <v>0</v>
      </c>
      <c r="R19" s="108">
        <v>0</v>
      </c>
      <c r="S19" s="108">
        <v>0</v>
      </c>
      <c r="T19" s="70">
        <v>81</v>
      </c>
      <c r="U19" s="108">
        <v>0</v>
      </c>
      <c r="V19" s="70">
        <v>288</v>
      </c>
      <c r="W19" s="70">
        <f>6484117/1000</f>
        <v>6484.117</v>
      </c>
      <c r="Y19" s="104">
        <v>786938</v>
      </c>
      <c r="Z19" s="104">
        <v>2178458</v>
      </c>
    </row>
    <row r="20" spans="1:26" ht="43.5" customHeight="1" thickBot="1">
      <c r="A20" s="204" t="s">
        <v>1073</v>
      </c>
      <c r="B20" s="62">
        <v>2964</v>
      </c>
      <c r="C20" s="411">
        <f>B20/Y20*100</f>
        <v>0.3750113869854348</v>
      </c>
      <c r="D20" s="63">
        <v>8866</v>
      </c>
      <c r="E20" s="109">
        <f>D20/Z20*100</f>
        <v>0.40520708934162764</v>
      </c>
      <c r="F20" s="110">
        <v>0</v>
      </c>
      <c r="G20" s="110">
        <v>0</v>
      </c>
      <c r="H20" s="110">
        <v>0</v>
      </c>
      <c r="I20" s="110">
        <v>0</v>
      </c>
      <c r="J20" s="110">
        <v>0</v>
      </c>
      <c r="K20" s="110">
        <v>0</v>
      </c>
      <c r="L20" s="110">
        <v>0</v>
      </c>
      <c r="M20" s="110">
        <v>0</v>
      </c>
      <c r="N20" s="110">
        <v>0</v>
      </c>
      <c r="O20" s="110">
        <v>0</v>
      </c>
      <c r="P20" s="110">
        <v>0</v>
      </c>
      <c r="Q20" s="110">
        <v>0</v>
      </c>
      <c r="R20" s="110">
        <v>0</v>
      </c>
      <c r="S20" s="110">
        <v>0</v>
      </c>
      <c r="T20" s="75">
        <v>63</v>
      </c>
      <c r="U20" s="110">
        <v>0</v>
      </c>
      <c r="V20" s="75">
        <v>301</v>
      </c>
      <c r="W20" s="75">
        <f>6926785/1000</f>
        <v>6926.785</v>
      </c>
      <c r="Y20" s="111">
        <v>790376</v>
      </c>
      <c r="Z20" s="104">
        <v>2188017</v>
      </c>
    </row>
    <row r="21" spans="1:12" s="158" customFormat="1" ht="13.5" customHeight="1">
      <c r="A21" s="174" t="s">
        <v>1151</v>
      </c>
      <c r="L21" s="247" t="s">
        <v>923</v>
      </c>
    </row>
    <row r="22" spans="1:12" s="158" customFormat="1" ht="13.5" customHeight="1">
      <c r="A22" s="178" t="s">
        <v>1152</v>
      </c>
      <c r="L22" s="178" t="s">
        <v>1075</v>
      </c>
    </row>
    <row r="23" spans="1:12" s="158" customFormat="1" ht="13.5" customHeight="1">
      <c r="A23" s="178" t="s">
        <v>1153</v>
      </c>
      <c r="L23" s="178" t="s">
        <v>924</v>
      </c>
    </row>
    <row r="24" spans="5:12" s="158" customFormat="1" ht="13.5" customHeight="1">
      <c r="E24" s="174"/>
      <c r="L24" s="178" t="s">
        <v>1154</v>
      </c>
    </row>
    <row r="25" spans="11:12" s="158" customFormat="1" ht="13.5" customHeight="1">
      <c r="K25" s="178"/>
      <c r="L25" s="178" t="s">
        <v>1076</v>
      </c>
    </row>
    <row r="26" s="158" customFormat="1" ht="12.75"/>
    <row r="27" s="158" customFormat="1" ht="12.75"/>
    <row r="28" s="158" customFormat="1" ht="12.75"/>
    <row r="29" s="158" customFormat="1" ht="12.75"/>
    <row r="30" s="158" customFormat="1" ht="12.75"/>
    <row r="31" s="158" customFormat="1" ht="12.75"/>
    <row r="32" s="158" customFormat="1" ht="12.75"/>
  </sheetData>
  <sheetProtection/>
  <mergeCells count="32">
    <mergeCell ref="N6:O7"/>
    <mergeCell ref="P6:Q7"/>
    <mergeCell ref="R6:S7"/>
    <mergeCell ref="V6:W6"/>
    <mergeCell ref="A7:A9"/>
    <mergeCell ref="V7:W7"/>
    <mergeCell ref="B8:B9"/>
    <mergeCell ref="C8:C9"/>
    <mergeCell ref="D8:D9"/>
    <mergeCell ref="E8:E9"/>
    <mergeCell ref="B6:B7"/>
    <mergeCell ref="D6:D7"/>
    <mergeCell ref="F6:G7"/>
    <mergeCell ref="H6:I7"/>
    <mergeCell ref="J6:K7"/>
    <mergeCell ref="L6:M7"/>
    <mergeCell ref="N4:O5"/>
    <mergeCell ref="P4:Q5"/>
    <mergeCell ref="R4:S5"/>
    <mergeCell ref="T4:W4"/>
    <mergeCell ref="B5:E5"/>
    <mergeCell ref="T5:W5"/>
    <mergeCell ref="A2:K2"/>
    <mergeCell ref="L2:W2"/>
    <mergeCell ref="E3:K3"/>
    <mergeCell ref="O3:W3"/>
    <mergeCell ref="A4:A6"/>
    <mergeCell ref="B4:E4"/>
    <mergeCell ref="F4:G5"/>
    <mergeCell ref="H4:I5"/>
    <mergeCell ref="J4:K5"/>
    <mergeCell ref="L4:M5"/>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colBreaks count="1" manualBreakCount="1">
    <brk id="11" max="65535" man="1"/>
  </colBreaks>
  <legacyDrawing r:id="rId2"/>
</worksheet>
</file>

<file path=xl/worksheets/sheet14.xml><?xml version="1.0" encoding="utf-8"?>
<worksheet xmlns="http://schemas.openxmlformats.org/spreadsheetml/2006/main" xmlns:r="http://schemas.openxmlformats.org/officeDocument/2006/relationships">
  <dimension ref="A1:R42"/>
  <sheetViews>
    <sheetView showGridLines="0" view="pageBreakPreview" zoomScale="55" zoomScaleNormal="120" zoomScaleSheetLayoutView="55" zoomScalePageLayoutView="0" workbookViewId="0" topLeftCell="A1">
      <pane xSplit="1" ySplit="11" topLeftCell="B12" activePane="bottomRight" state="frozen"/>
      <selection pane="topLeft" activeCell="A1" sqref="A1"/>
      <selection pane="topRight" activeCell="A1" sqref="A1"/>
      <selection pane="bottomLeft" activeCell="A1" sqref="A1"/>
      <selection pane="bottomRight" activeCell="J2" sqref="J2:Q2"/>
    </sheetView>
  </sheetViews>
  <sheetFormatPr defaultColWidth="9.00390625" defaultRowHeight="16.5"/>
  <cols>
    <col min="1" max="1" width="12.625" style="158" customWidth="1"/>
    <col min="2" max="4" width="9.50390625" style="11" customWidth="1"/>
    <col min="5" max="5" width="9.125" style="11" customWidth="1"/>
    <col min="6" max="8" width="9.50390625" style="11" customWidth="1"/>
    <col min="9" max="9" width="9.125" style="11" customWidth="1"/>
    <col min="10" max="17" width="11.00390625" style="11" customWidth="1"/>
    <col min="18" max="16384" width="9.00390625" style="11" customWidth="1"/>
  </cols>
  <sheetData>
    <row r="1" spans="1:17" s="158" customFormat="1" ht="18" customHeight="1">
      <c r="A1" s="157" t="s">
        <v>1077</v>
      </c>
      <c r="B1" s="178"/>
      <c r="C1" s="178"/>
      <c r="D1" s="178"/>
      <c r="Q1" s="159" t="s">
        <v>925</v>
      </c>
    </row>
    <row r="2" spans="1:17" s="158" customFormat="1" ht="34.5" customHeight="1">
      <c r="A2" s="686" t="s">
        <v>1349</v>
      </c>
      <c r="B2" s="686"/>
      <c r="C2" s="686"/>
      <c r="D2" s="686"/>
      <c r="E2" s="686"/>
      <c r="F2" s="686"/>
      <c r="G2" s="686"/>
      <c r="H2" s="686"/>
      <c r="I2" s="686"/>
      <c r="J2" s="716" t="s">
        <v>926</v>
      </c>
      <c r="K2" s="686"/>
      <c r="L2" s="686"/>
      <c r="M2" s="686"/>
      <c r="N2" s="686"/>
      <c r="O2" s="686"/>
      <c r="P2" s="686"/>
      <c r="Q2" s="686"/>
    </row>
    <row r="3" spans="1:17" s="158" customFormat="1" ht="15" customHeight="1" thickBot="1">
      <c r="A3" s="179"/>
      <c r="B3" s="179"/>
      <c r="C3" s="179"/>
      <c r="D3" s="179"/>
      <c r="E3" s="179"/>
      <c r="F3" s="179"/>
      <c r="G3" s="179"/>
      <c r="H3" s="179"/>
      <c r="I3" s="159" t="s">
        <v>1350</v>
      </c>
      <c r="J3" s="179"/>
      <c r="K3" s="179"/>
      <c r="L3" s="179"/>
      <c r="M3" s="162"/>
      <c r="N3" s="162"/>
      <c r="O3" s="181"/>
      <c r="P3" s="181"/>
      <c r="Q3" s="161" t="s">
        <v>256</v>
      </c>
    </row>
    <row r="4" spans="1:18" s="158" customFormat="1" ht="18" customHeight="1">
      <c r="A4" s="266"/>
      <c r="B4" s="752" t="s">
        <v>1351</v>
      </c>
      <c r="C4" s="753"/>
      <c r="D4" s="753"/>
      <c r="E4" s="753"/>
      <c r="F4" s="753"/>
      <c r="G4" s="753"/>
      <c r="H4" s="753"/>
      <c r="I4" s="753"/>
      <c r="J4" s="753" t="s">
        <v>257</v>
      </c>
      <c r="K4" s="753"/>
      <c r="L4" s="753"/>
      <c r="M4" s="753"/>
      <c r="N4" s="753"/>
      <c r="O4" s="753"/>
      <c r="P4" s="753"/>
      <c r="Q4" s="753"/>
      <c r="R4" s="179"/>
    </row>
    <row r="5" spans="1:18" s="158" customFormat="1" ht="18" customHeight="1">
      <c r="A5" s="754" t="s">
        <v>1352</v>
      </c>
      <c r="B5" s="711" t="s">
        <v>1353</v>
      </c>
      <c r="C5" s="697"/>
      <c r="D5" s="697"/>
      <c r="E5" s="692"/>
      <c r="F5" s="755" t="s">
        <v>1354</v>
      </c>
      <c r="G5" s="756"/>
      <c r="H5" s="756"/>
      <c r="I5" s="756"/>
      <c r="J5" s="756"/>
      <c r="K5" s="756"/>
      <c r="L5" s="756"/>
      <c r="M5" s="756"/>
      <c r="N5" s="756"/>
      <c r="O5" s="756"/>
      <c r="P5" s="756"/>
      <c r="Q5" s="757"/>
      <c r="R5" s="179"/>
    </row>
    <row r="6" spans="1:18" s="158" customFormat="1" ht="18" customHeight="1">
      <c r="A6" s="754"/>
      <c r="B6" s="698"/>
      <c r="C6" s="699"/>
      <c r="D6" s="699"/>
      <c r="E6" s="700"/>
      <c r="F6" s="710" t="s">
        <v>1355</v>
      </c>
      <c r="G6" s="699"/>
      <c r="H6" s="699"/>
      <c r="I6" s="735"/>
      <c r="J6" s="699" t="s">
        <v>1356</v>
      </c>
      <c r="K6" s="699"/>
      <c r="L6" s="699"/>
      <c r="M6" s="735"/>
      <c r="N6" s="710" t="s">
        <v>1357</v>
      </c>
      <c r="O6" s="699"/>
      <c r="P6" s="699"/>
      <c r="Q6" s="735"/>
      <c r="R6" s="179"/>
    </row>
    <row r="7" spans="1:18" s="158" customFormat="1" ht="18" customHeight="1">
      <c r="A7" s="267"/>
      <c r="B7" s="723"/>
      <c r="C7" s="685"/>
      <c r="D7" s="685"/>
      <c r="E7" s="679"/>
      <c r="F7" s="677" t="s">
        <v>258</v>
      </c>
      <c r="G7" s="685"/>
      <c r="H7" s="685"/>
      <c r="I7" s="679"/>
      <c r="J7" s="685" t="s">
        <v>259</v>
      </c>
      <c r="K7" s="685"/>
      <c r="L7" s="685"/>
      <c r="M7" s="679"/>
      <c r="N7" s="677" t="s">
        <v>260</v>
      </c>
      <c r="O7" s="685"/>
      <c r="P7" s="685"/>
      <c r="Q7" s="679"/>
      <c r="R7" s="179"/>
    </row>
    <row r="8" spans="1:18" s="158" customFormat="1" ht="18" customHeight="1">
      <c r="A8" s="267" t="s">
        <v>216</v>
      </c>
      <c r="B8" s="758" t="s">
        <v>671</v>
      </c>
      <c r="C8" s="759"/>
      <c r="D8" s="740"/>
      <c r="E8" s="682" t="s">
        <v>672</v>
      </c>
      <c r="F8" s="739" t="s">
        <v>671</v>
      </c>
      <c r="G8" s="759"/>
      <c r="H8" s="740"/>
      <c r="I8" s="682" t="s">
        <v>672</v>
      </c>
      <c r="J8" s="759" t="s">
        <v>671</v>
      </c>
      <c r="K8" s="759"/>
      <c r="L8" s="740"/>
      <c r="M8" s="682" t="s">
        <v>672</v>
      </c>
      <c r="N8" s="739" t="s">
        <v>671</v>
      </c>
      <c r="O8" s="759"/>
      <c r="P8" s="740"/>
      <c r="Q8" s="682" t="s">
        <v>672</v>
      </c>
      <c r="R8" s="179"/>
    </row>
    <row r="9" spans="1:18" s="158" customFormat="1" ht="18" customHeight="1">
      <c r="A9" s="267"/>
      <c r="B9" s="723" t="s">
        <v>234</v>
      </c>
      <c r="C9" s="685"/>
      <c r="D9" s="679"/>
      <c r="E9" s="726"/>
      <c r="F9" s="677" t="s">
        <v>234</v>
      </c>
      <c r="G9" s="685"/>
      <c r="H9" s="679"/>
      <c r="I9" s="726"/>
      <c r="J9" s="685" t="s">
        <v>234</v>
      </c>
      <c r="K9" s="685"/>
      <c r="L9" s="679"/>
      <c r="M9" s="726"/>
      <c r="N9" s="677" t="s">
        <v>234</v>
      </c>
      <c r="O9" s="685"/>
      <c r="P9" s="679"/>
      <c r="Q9" s="726"/>
      <c r="R9" s="179"/>
    </row>
    <row r="10" spans="1:18" s="158" customFormat="1" ht="18" customHeight="1">
      <c r="A10" s="267"/>
      <c r="B10" s="292" t="s">
        <v>625</v>
      </c>
      <c r="C10" s="275" t="s">
        <v>722</v>
      </c>
      <c r="D10" s="275" t="s">
        <v>723</v>
      </c>
      <c r="E10" s="725" t="s">
        <v>261</v>
      </c>
      <c r="F10" s="272" t="s">
        <v>673</v>
      </c>
      <c r="G10" s="272" t="s">
        <v>674</v>
      </c>
      <c r="H10" s="272" t="s">
        <v>675</v>
      </c>
      <c r="I10" s="725" t="s">
        <v>261</v>
      </c>
      <c r="J10" s="275" t="s">
        <v>673</v>
      </c>
      <c r="K10" s="272" t="s">
        <v>674</v>
      </c>
      <c r="L10" s="272" t="s">
        <v>675</v>
      </c>
      <c r="M10" s="725" t="s">
        <v>261</v>
      </c>
      <c r="N10" s="272" t="s">
        <v>673</v>
      </c>
      <c r="O10" s="272" t="s">
        <v>674</v>
      </c>
      <c r="P10" s="272" t="s">
        <v>675</v>
      </c>
      <c r="Q10" s="725" t="s">
        <v>261</v>
      </c>
      <c r="R10" s="179"/>
    </row>
    <row r="11" spans="1:17" s="180" customFormat="1" ht="18" customHeight="1" thickBot="1">
      <c r="A11" s="166"/>
      <c r="B11" s="242" t="s">
        <v>161</v>
      </c>
      <c r="C11" s="245" t="s">
        <v>90</v>
      </c>
      <c r="D11" s="245" t="s">
        <v>91</v>
      </c>
      <c r="E11" s="729"/>
      <c r="F11" s="243" t="s">
        <v>262</v>
      </c>
      <c r="G11" s="243" t="s">
        <v>171</v>
      </c>
      <c r="H11" s="243" t="s">
        <v>172</v>
      </c>
      <c r="I11" s="729"/>
      <c r="J11" s="245" t="s">
        <v>262</v>
      </c>
      <c r="K11" s="243" t="s">
        <v>171</v>
      </c>
      <c r="L11" s="243" t="s">
        <v>172</v>
      </c>
      <c r="M11" s="729"/>
      <c r="N11" s="243" t="s">
        <v>262</v>
      </c>
      <c r="O11" s="243" t="s">
        <v>171</v>
      </c>
      <c r="P11" s="243" t="s">
        <v>172</v>
      </c>
      <c r="Q11" s="729"/>
    </row>
    <row r="12" spans="1:17" s="14" customFormat="1" ht="52.5" customHeight="1">
      <c r="A12" s="203" t="s">
        <v>1339</v>
      </c>
      <c r="B12" s="40">
        <f aca="true" t="shared" si="0" ref="B12:B19">SUM(C12:D12)</f>
        <v>6936</v>
      </c>
      <c r="C12" s="34">
        <f>SUM(G12,K12,O12,'11-10續 '!C12,'11-10續 '!G12)</f>
        <v>3577</v>
      </c>
      <c r="D12" s="34">
        <f>SUM(H12,L12,P12,'11-10續 '!D12,'11-10續 '!H12)</f>
        <v>3359</v>
      </c>
      <c r="E12" s="34">
        <f>SUM(I12,M12,Q12,'11-10續 '!E12,'11-10續 '!I12)</f>
        <v>417066</v>
      </c>
      <c r="F12" s="34">
        <f aca="true" t="shared" si="1" ref="F12:F21">SUM(G12:H12)</f>
        <v>47</v>
      </c>
      <c r="G12" s="34">
        <v>37</v>
      </c>
      <c r="H12" s="34">
        <v>10</v>
      </c>
      <c r="I12" s="34">
        <v>3498</v>
      </c>
      <c r="J12" s="34">
        <f aca="true" t="shared" si="2" ref="J12:J21">SUM(K12:L12)</f>
        <v>209</v>
      </c>
      <c r="K12" s="34">
        <v>120</v>
      </c>
      <c r="L12" s="34">
        <v>89</v>
      </c>
      <c r="M12" s="34">
        <v>15684</v>
      </c>
      <c r="N12" s="34">
        <f aca="true" t="shared" si="3" ref="N12:N20">SUM(O12:P12)</f>
        <v>211</v>
      </c>
      <c r="O12" s="34">
        <v>120</v>
      </c>
      <c r="P12" s="34">
        <v>91</v>
      </c>
      <c r="Q12" s="34">
        <v>14214</v>
      </c>
    </row>
    <row r="13" spans="1:17" ht="52.5" customHeight="1">
      <c r="A13" s="203" t="s">
        <v>1340</v>
      </c>
      <c r="B13" s="40">
        <f t="shared" si="0"/>
        <v>6903</v>
      </c>
      <c r="C13" s="34">
        <f>SUM(G13,K13,O13,'11-10續 '!C13,'11-10續 '!G13)</f>
        <v>3585</v>
      </c>
      <c r="D13" s="34">
        <f>SUM(H13,L13,P13,'11-10續 '!D13,'11-10續 '!H13)</f>
        <v>3318</v>
      </c>
      <c r="E13" s="34">
        <f>SUM(I13,M13,Q13,'11-10續 '!E13,'11-10續 '!I13)</f>
        <v>417834</v>
      </c>
      <c r="F13" s="34">
        <f t="shared" si="1"/>
        <v>42</v>
      </c>
      <c r="G13" s="34">
        <v>36</v>
      </c>
      <c r="H13" s="34">
        <v>6</v>
      </c>
      <c r="I13" s="34">
        <v>3114</v>
      </c>
      <c r="J13" s="34">
        <f t="shared" si="2"/>
        <v>173</v>
      </c>
      <c r="K13" s="34">
        <v>115</v>
      </c>
      <c r="L13" s="34">
        <v>58</v>
      </c>
      <c r="M13" s="34">
        <v>12348</v>
      </c>
      <c r="N13" s="34">
        <f t="shared" si="3"/>
        <v>201</v>
      </c>
      <c r="O13" s="34">
        <v>124</v>
      </c>
      <c r="P13" s="34">
        <v>77</v>
      </c>
      <c r="Q13" s="34">
        <v>14952</v>
      </c>
    </row>
    <row r="14" spans="1:17" ht="52.5" customHeight="1">
      <c r="A14" s="203" t="s">
        <v>1341</v>
      </c>
      <c r="B14" s="40">
        <f t="shared" si="0"/>
        <v>6699</v>
      </c>
      <c r="C14" s="34">
        <f>SUM(G14,K14,O14,'11-10續 '!C14,'11-10續 '!G14)</f>
        <v>3414</v>
      </c>
      <c r="D14" s="34">
        <f>SUM(H14,L14,P14,'11-10續 '!D14,'11-10續 '!H14)</f>
        <v>3285</v>
      </c>
      <c r="E14" s="34">
        <f>SUM(I14,M14,Q14,'11-10續 '!E14,'11-10續 '!I14)</f>
        <v>411969</v>
      </c>
      <c r="F14" s="34">
        <f t="shared" si="1"/>
        <v>42</v>
      </c>
      <c r="G14" s="34">
        <v>35</v>
      </c>
      <c r="H14" s="34">
        <v>7</v>
      </c>
      <c r="I14" s="34">
        <v>2922</v>
      </c>
      <c r="J14" s="34">
        <f t="shared" si="2"/>
        <v>161</v>
      </c>
      <c r="K14" s="34">
        <v>113</v>
      </c>
      <c r="L14" s="34">
        <v>48</v>
      </c>
      <c r="M14" s="34">
        <v>11766</v>
      </c>
      <c r="N14" s="34">
        <f t="shared" si="3"/>
        <v>221</v>
      </c>
      <c r="O14" s="34">
        <v>135</v>
      </c>
      <c r="P14" s="34">
        <v>86</v>
      </c>
      <c r="Q14" s="34">
        <v>15558</v>
      </c>
    </row>
    <row r="15" spans="1:17" ht="52.5" customHeight="1">
      <c r="A15" s="203" t="s">
        <v>1342</v>
      </c>
      <c r="B15" s="40">
        <f t="shared" si="0"/>
        <v>6630</v>
      </c>
      <c r="C15" s="34">
        <f>SUM(G15,K15,O15,'11-10續 '!C15,'11-10續 '!G15)</f>
        <v>3349</v>
      </c>
      <c r="D15" s="34">
        <f>SUM(H15,L15,P15,'11-10續 '!D15,'11-10續 '!H15)</f>
        <v>3281</v>
      </c>
      <c r="E15" s="34">
        <f>SUM(I15,M15,Q15,'11-10續 '!E15,'11-10續 '!I15)</f>
        <v>403662</v>
      </c>
      <c r="F15" s="34">
        <f t="shared" si="1"/>
        <v>37</v>
      </c>
      <c r="G15" s="34">
        <v>29</v>
      </c>
      <c r="H15" s="34">
        <v>8</v>
      </c>
      <c r="I15" s="34">
        <v>2916</v>
      </c>
      <c r="J15" s="34">
        <f t="shared" si="2"/>
        <v>147</v>
      </c>
      <c r="K15" s="34">
        <v>108</v>
      </c>
      <c r="L15" s="34">
        <v>39</v>
      </c>
      <c r="M15" s="34">
        <v>10638</v>
      </c>
      <c r="N15" s="34">
        <f t="shared" si="3"/>
        <v>224</v>
      </c>
      <c r="O15" s="34">
        <v>142</v>
      </c>
      <c r="P15" s="34">
        <v>82</v>
      </c>
      <c r="Q15" s="34">
        <v>15876</v>
      </c>
    </row>
    <row r="16" spans="1:17" ht="52.5" customHeight="1">
      <c r="A16" s="203" t="s">
        <v>1343</v>
      </c>
      <c r="B16" s="40">
        <f t="shared" si="0"/>
        <v>6447</v>
      </c>
      <c r="C16" s="34">
        <f>SUM(G16,K16,O16,'11-10續 '!C16,'11-10續 '!G16)</f>
        <v>3190</v>
      </c>
      <c r="D16" s="34">
        <f>SUM(H16,L16,P16,'11-10續 '!D16,'11-10續 '!H16)</f>
        <v>3257</v>
      </c>
      <c r="E16" s="34">
        <f>SUM(I16,M16,Q16,'11-10續 '!E16,'11-10續 '!I16)</f>
        <v>471272</v>
      </c>
      <c r="F16" s="34">
        <f t="shared" si="1"/>
        <v>28</v>
      </c>
      <c r="G16" s="34">
        <v>24</v>
      </c>
      <c r="H16" s="34">
        <v>4</v>
      </c>
      <c r="I16" s="34">
        <v>2765</v>
      </c>
      <c r="J16" s="34">
        <f t="shared" si="2"/>
        <v>134</v>
      </c>
      <c r="K16" s="34">
        <v>98</v>
      </c>
      <c r="L16" s="34">
        <v>36</v>
      </c>
      <c r="M16" s="34">
        <v>11455</v>
      </c>
      <c r="N16" s="34">
        <f t="shared" si="3"/>
        <v>221</v>
      </c>
      <c r="O16" s="34">
        <v>148</v>
      </c>
      <c r="P16" s="34">
        <v>73</v>
      </c>
      <c r="Q16" s="34">
        <v>18950</v>
      </c>
    </row>
    <row r="17" spans="1:17" ht="52.5" customHeight="1">
      <c r="A17" s="203" t="s">
        <v>1344</v>
      </c>
      <c r="B17" s="40">
        <f t="shared" si="0"/>
        <v>6321</v>
      </c>
      <c r="C17" s="34">
        <f>SUM(G17,K17,O17,'11-10續 '!C17,'11-10續 '!G17)</f>
        <v>3091</v>
      </c>
      <c r="D17" s="34">
        <f>SUM(H17,L17,P17,'11-10續 '!D17,'11-10續 '!H17)</f>
        <v>3230</v>
      </c>
      <c r="E17" s="34">
        <f>SUM(I17,M17,Q17,'11-10續 '!E17,'11-10續 '!I17)</f>
        <v>458002</v>
      </c>
      <c r="F17" s="34">
        <f t="shared" si="1"/>
        <v>27</v>
      </c>
      <c r="G17" s="34">
        <v>23</v>
      </c>
      <c r="H17" s="34">
        <v>4</v>
      </c>
      <c r="I17" s="34">
        <v>2462</v>
      </c>
      <c r="J17" s="34">
        <f t="shared" si="2"/>
        <v>130</v>
      </c>
      <c r="K17" s="34">
        <v>95</v>
      </c>
      <c r="L17" s="34">
        <v>35</v>
      </c>
      <c r="M17" s="34">
        <v>11124</v>
      </c>
      <c r="N17" s="34">
        <f t="shared" si="3"/>
        <v>238</v>
      </c>
      <c r="O17" s="34">
        <v>157</v>
      </c>
      <c r="P17" s="34">
        <v>81</v>
      </c>
      <c r="Q17" s="34">
        <v>19951</v>
      </c>
    </row>
    <row r="18" spans="1:17" ht="52.5" customHeight="1">
      <c r="A18" s="203" t="s">
        <v>1345</v>
      </c>
      <c r="B18" s="80">
        <f t="shared" si="0"/>
        <v>6154</v>
      </c>
      <c r="C18" s="81">
        <f>SUM(G18,K18,O18,'11-10續 '!C18,'11-10續 '!G18)</f>
        <v>2977</v>
      </c>
      <c r="D18" s="81">
        <f>SUM(H18,L18,P18,'11-10續 '!D18,'11-10續 '!H18)</f>
        <v>3177</v>
      </c>
      <c r="E18" s="34">
        <f>SUM(I18,M18,Q18,'11-10續 '!E18,'11-10續 '!I18)</f>
        <v>454990</v>
      </c>
      <c r="F18" s="81">
        <f t="shared" si="1"/>
        <v>23</v>
      </c>
      <c r="G18" s="81">
        <v>20</v>
      </c>
      <c r="H18" s="81">
        <v>3</v>
      </c>
      <c r="I18" s="81">
        <v>2074</v>
      </c>
      <c r="J18" s="81">
        <f t="shared" si="2"/>
        <v>132</v>
      </c>
      <c r="K18" s="81">
        <v>98</v>
      </c>
      <c r="L18" s="81">
        <v>34</v>
      </c>
      <c r="M18" s="81">
        <v>11218</v>
      </c>
      <c r="N18" s="81">
        <f>SUM(O18:P18)</f>
        <v>253</v>
      </c>
      <c r="O18" s="81">
        <v>167</v>
      </c>
      <c r="P18" s="81">
        <v>86</v>
      </c>
      <c r="Q18" s="81">
        <v>20887</v>
      </c>
    </row>
    <row r="19" spans="1:17" s="14" customFormat="1" ht="52.5" customHeight="1">
      <c r="A19" s="203" t="s">
        <v>1346</v>
      </c>
      <c r="B19" s="80">
        <f t="shared" si="0"/>
        <v>6087</v>
      </c>
      <c r="C19" s="81">
        <f>SUM(G19,K19,O19,'11-10續 '!C19,'11-10續 '!G19)</f>
        <v>2931</v>
      </c>
      <c r="D19" s="81">
        <f>SUM(H19,L19,P19,'11-10續 '!D19,'11-10續 '!H19)</f>
        <v>3156</v>
      </c>
      <c r="E19" s="34">
        <f>SUM(I19,M19,Q19,'11-10續 '!E19,'11-10續 '!I19)</f>
        <v>471114</v>
      </c>
      <c r="F19" s="81">
        <f t="shared" si="1"/>
        <v>23</v>
      </c>
      <c r="G19" s="34">
        <v>14</v>
      </c>
      <c r="H19" s="34">
        <v>9</v>
      </c>
      <c r="I19" s="34">
        <f>1569600/1000</f>
        <v>1569.6</v>
      </c>
      <c r="J19" s="81">
        <f t="shared" si="2"/>
        <v>168</v>
      </c>
      <c r="K19" s="34">
        <v>127</v>
      </c>
      <c r="L19" s="34">
        <v>41</v>
      </c>
      <c r="M19" s="34">
        <f>14544000/1000</f>
        <v>14544</v>
      </c>
      <c r="N19" s="81">
        <f t="shared" si="3"/>
        <v>243</v>
      </c>
      <c r="O19" s="34">
        <v>167</v>
      </c>
      <c r="P19" s="34">
        <v>76</v>
      </c>
      <c r="Q19" s="34">
        <f>20764800/1000</f>
        <v>20764.8</v>
      </c>
    </row>
    <row r="20" spans="1:17" s="14" customFormat="1" ht="52.5" customHeight="1">
      <c r="A20" s="203" t="s">
        <v>1347</v>
      </c>
      <c r="B20" s="80">
        <f>SUM(C20:D20)</f>
        <v>6321</v>
      </c>
      <c r="C20" s="81">
        <f>SUM(G20,K20,O20,'11-10續 '!C20,'11-10續 '!G20)</f>
        <v>3003</v>
      </c>
      <c r="D20" s="81">
        <f>SUM(H20,L20,P20,'11-10續 '!D20,'11-10續 '!H20)</f>
        <v>3318</v>
      </c>
      <c r="E20" s="34">
        <f>SUM(I20,M20,Q20,'11-10續 '!E20,'11-10續 '!I20)</f>
        <v>506463.161</v>
      </c>
      <c r="F20" s="81">
        <f t="shared" si="1"/>
        <v>11</v>
      </c>
      <c r="G20" s="34">
        <v>10</v>
      </c>
      <c r="H20" s="34">
        <v>1</v>
      </c>
      <c r="I20" s="34">
        <f>1231395/1000</f>
        <v>1231.395</v>
      </c>
      <c r="J20" s="81">
        <f t="shared" si="2"/>
        <v>217</v>
      </c>
      <c r="K20" s="34">
        <v>170</v>
      </c>
      <c r="L20" s="34">
        <v>47</v>
      </c>
      <c r="M20" s="34">
        <f>17858959/1000</f>
        <v>17858.959</v>
      </c>
      <c r="N20" s="81">
        <f t="shared" si="3"/>
        <v>280</v>
      </c>
      <c r="O20" s="34">
        <v>189</v>
      </c>
      <c r="P20" s="34">
        <v>91</v>
      </c>
      <c r="Q20" s="34">
        <f>23351727/1000</f>
        <v>23351.727</v>
      </c>
    </row>
    <row r="21" spans="1:17" s="14" customFormat="1" ht="52.5" customHeight="1" thickBot="1">
      <c r="A21" s="204" t="s">
        <v>1348</v>
      </c>
      <c r="B21" s="99">
        <f>SUM(C21:D21)</f>
        <v>6686</v>
      </c>
      <c r="C21" s="43">
        <v>3112</v>
      </c>
      <c r="D21" s="43">
        <v>3574</v>
      </c>
      <c r="E21" s="43">
        <f>SUM(I21,M21,Q21,'11-10續 '!E21,'11-10續 '!I21)</f>
        <v>531650.083</v>
      </c>
      <c r="F21" s="82">
        <f t="shared" si="1"/>
        <v>12</v>
      </c>
      <c r="G21" s="43">
        <v>11</v>
      </c>
      <c r="H21" s="43">
        <v>1</v>
      </c>
      <c r="I21" s="43">
        <f>1082135/1000</f>
        <v>1082.135</v>
      </c>
      <c r="J21" s="82">
        <f t="shared" si="2"/>
        <v>225</v>
      </c>
      <c r="K21" s="43">
        <v>177</v>
      </c>
      <c r="L21" s="43">
        <v>48</v>
      </c>
      <c r="M21" s="43">
        <f>20030692/1000</f>
        <v>20030.692</v>
      </c>
      <c r="N21" s="82">
        <f>SUM(O21:P21)</f>
        <v>328</v>
      </c>
      <c r="O21" s="43">
        <v>209</v>
      </c>
      <c r="P21" s="43">
        <v>119</v>
      </c>
      <c r="Q21" s="43">
        <f>27172783/1000</f>
        <v>27172.783</v>
      </c>
    </row>
    <row r="22" spans="1:16" s="158" customFormat="1" ht="15" customHeight="1">
      <c r="A22" s="289" t="s">
        <v>1358</v>
      </c>
      <c r="B22" s="176"/>
      <c r="C22" s="176"/>
      <c r="D22" s="176"/>
      <c r="E22" s="176"/>
      <c r="F22" s="176"/>
      <c r="G22" s="176"/>
      <c r="H22" s="176"/>
      <c r="I22" s="176"/>
      <c r="J22" s="247" t="s">
        <v>927</v>
      </c>
      <c r="K22" s="176"/>
      <c r="L22" s="176"/>
      <c r="M22" s="176"/>
      <c r="N22" s="176"/>
      <c r="O22" s="176"/>
      <c r="P22" s="176"/>
    </row>
    <row r="23" spans="1:16" s="158" customFormat="1" ht="15" customHeight="1">
      <c r="A23" s="289" t="s">
        <v>1359</v>
      </c>
      <c r="B23" s="176"/>
      <c r="C23" s="176"/>
      <c r="D23" s="176"/>
      <c r="E23" s="176"/>
      <c r="F23" s="176"/>
      <c r="G23" s="176"/>
      <c r="H23" s="176"/>
      <c r="I23" s="176"/>
      <c r="J23" s="293" t="s">
        <v>928</v>
      </c>
      <c r="K23" s="176"/>
      <c r="L23" s="176"/>
      <c r="M23" s="176"/>
      <c r="N23" s="176"/>
      <c r="O23" s="176"/>
      <c r="P23" s="176"/>
    </row>
    <row r="24" s="158" customFormat="1" ht="15" customHeight="1">
      <c r="J24" s="293" t="s">
        <v>929</v>
      </c>
    </row>
    <row r="25" s="158" customFormat="1" ht="12.75"/>
    <row r="26" s="158" customFormat="1" ht="12.75"/>
    <row r="27" s="158" customFormat="1" ht="12.75"/>
    <row r="28" s="294" customFormat="1" ht="12.75">
      <c r="A28" s="290"/>
    </row>
    <row r="29" spans="1:18" s="158" customFormat="1" ht="12.75">
      <c r="A29" s="159"/>
      <c r="E29" s="294"/>
      <c r="F29" s="294"/>
      <c r="G29" s="294"/>
      <c r="H29" s="294"/>
      <c r="I29" s="294"/>
      <c r="J29" s="294"/>
      <c r="K29" s="294"/>
      <c r="L29" s="294"/>
      <c r="M29" s="294"/>
      <c r="N29" s="294"/>
      <c r="O29" s="294"/>
      <c r="P29" s="294"/>
      <c r="Q29" s="294"/>
      <c r="R29" s="294"/>
    </row>
    <row r="30" spans="1:18" s="158" customFormat="1" ht="12.75">
      <c r="A30" s="159"/>
      <c r="E30" s="294"/>
      <c r="F30" s="294"/>
      <c r="G30" s="294"/>
      <c r="H30" s="294"/>
      <c r="I30" s="294"/>
      <c r="J30" s="294"/>
      <c r="K30" s="294"/>
      <c r="L30" s="294"/>
      <c r="M30" s="294"/>
      <c r="N30" s="294"/>
      <c r="O30" s="294"/>
      <c r="P30" s="294"/>
      <c r="Q30" s="294"/>
      <c r="R30" s="294"/>
    </row>
    <row r="31" spans="1:18" s="158" customFormat="1" ht="12.75">
      <c r="A31" s="290"/>
      <c r="E31" s="294"/>
      <c r="F31" s="294"/>
      <c r="G31" s="294"/>
      <c r="H31" s="294"/>
      <c r="I31" s="294"/>
      <c r="J31" s="294"/>
      <c r="K31" s="294"/>
      <c r="L31" s="294"/>
      <c r="M31" s="294"/>
      <c r="N31" s="294"/>
      <c r="O31" s="294"/>
      <c r="P31" s="294"/>
      <c r="Q31" s="294"/>
      <c r="R31" s="294"/>
    </row>
    <row r="32" spans="1:18" s="158" customFormat="1" ht="12.75">
      <c r="A32" s="159"/>
      <c r="E32" s="294"/>
      <c r="F32" s="294"/>
      <c r="G32" s="294"/>
      <c r="H32" s="294"/>
      <c r="I32" s="294"/>
      <c r="J32" s="294"/>
      <c r="K32" s="294"/>
      <c r="L32" s="294"/>
      <c r="M32" s="294"/>
      <c r="N32" s="294"/>
      <c r="O32" s="294"/>
      <c r="P32" s="294"/>
      <c r="Q32" s="294"/>
      <c r="R32" s="294"/>
    </row>
    <row r="33" spans="1:18" s="158" customFormat="1" ht="12.75">
      <c r="A33" s="159"/>
      <c r="E33" s="294"/>
      <c r="F33" s="294"/>
      <c r="G33" s="294"/>
      <c r="H33" s="294"/>
      <c r="I33" s="294"/>
      <c r="J33" s="294"/>
      <c r="K33" s="294"/>
      <c r="L33" s="294"/>
      <c r="M33" s="294"/>
      <c r="N33" s="294"/>
      <c r="O33" s="294"/>
      <c r="P33" s="294"/>
      <c r="Q33" s="294"/>
      <c r="R33" s="294"/>
    </row>
    <row r="34" spans="1:18" s="158" customFormat="1" ht="12.75">
      <c r="A34" s="290"/>
      <c r="E34" s="294"/>
      <c r="F34" s="294"/>
      <c r="G34" s="294"/>
      <c r="H34" s="294"/>
      <c r="I34" s="294"/>
      <c r="J34" s="294"/>
      <c r="K34" s="294"/>
      <c r="L34" s="294"/>
      <c r="M34" s="294"/>
      <c r="N34" s="294"/>
      <c r="O34" s="294"/>
      <c r="P34" s="294"/>
      <c r="Q34" s="294"/>
      <c r="R34" s="294"/>
    </row>
    <row r="35" spans="1:18" s="158" customFormat="1" ht="12.75">
      <c r="A35" s="159"/>
      <c r="E35" s="294"/>
      <c r="F35" s="294"/>
      <c r="G35" s="294"/>
      <c r="H35" s="294"/>
      <c r="I35" s="294"/>
      <c r="J35" s="294"/>
      <c r="K35" s="294"/>
      <c r="L35" s="294"/>
      <c r="M35" s="294"/>
      <c r="N35" s="294"/>
      <c r="O35" s="294"/>
      <c r="P35" s="294"/>
      <c r="Q35" s="294"/>
      <c r="R35" s="294"/>
    </row>
    <row r="36" spans="1:18" s="158" customFormat="1" ht="12.75">
      <c r="A36" s="159"/>
      <c r="E36" s="294"/>
      <c r="F36" s="294"/>
      <c r="G36" s="294"/>
      <c r="H36" s="294"/>
      <c r="I36" s="294"/>
      <c r="J36" s="294"/>
      <c r="K36" s="294"/>
      <c r="L36" s="294"/>
      <c r="M36" s="294"/>
      <c r="N36" s="294"/>
      <c r="O36" s="294"/>
      <c r="P36" s="294"/>
      <c r="Q36" s="294"/>
      <c r="R36" s="294"/>
    </row>
    <row r="37" spans="1:18" ht="12.75">
      <c r="A37" s="290"/>
      <c r="E37" s="103"/>
      <c r="F37" s="103"/>
      <c r="G37" s="103"/>
      <c r="H37" s="103"/>
      <c r="I37" s="103"/>
      <c r="J37" s="103"/>
      <c r="K37" s="103"/>
      <c r="L37" s="103"/>
      <c r="M37" s="103"/>
      <c r="N37" s="103"/>
      <c r="O37" s="103"/>
      <c r="P37" s="103"/>
      <c r="Q37" s="103"/>
      <c r="R37" s="103"/>
    </row>
    <row r="38" spans="1:18" ht="12.75">
      <c r="A38" s="159"/>
      <c r="E38" s="103"/>
      <c r="F38" s="103"/>
      <c r="G38" s="103"/>
      <c r="H38" s="103"/>
      <c r="I38" s="103"/>
      <c r="J38" s="103"/>
      <c r="K38" s="103"/>
      <c r="L38" s="103"/>
      <c r="M38" s="103"/>
      <c r="N38" s="103"/>
      <c r="O38" s="103"/>
      <c r="P38" s="103"/>
      <c r="Q38" s="103"/>
      <c r="R38" s="103"/>
    </row>
    <row r="39" spans="5:18" ht="12.75">
      <c r="E39" s="103"/>
      <c r="F39" s="103"/>
      <c r="G39" s="103"/>
      <c r="H39" s="103"/>
      <c r="I39" s="103"/>
      <c r="J39" s="103"/>
      <c r="K39" s="103"/>
      <c r="L39" s="103"/>
      <c r="M39" s="103"/>
      <c r="N39" s="103"/>
      <c r="O39" s="103"/>
      <c r="P39" s="103"/>
      <c r="Q39" s="103"/>
      <c r="R39" s="103"/>
    </row>
    <row r="40" spans="5:18" ht="12.75">
      <c r="E40" s="103"/>
      <c r="F40" s="103"/>
      <c r="G40" s="103"/>
      <c r="H40" s="103"/>
      <c r="I40" s="103"/>
      <c r="J40" s="103"/>
      <c r="K40" s="103"/>
      <c r="L40" s="103"/>
      <c r="M40" s="103"/>
      <c r="N40" s="103"/>
      <c r="O40" s="103"/>
      <c r="P40" s="103"/>
      <c r="Q40" s="103"/>
      <c r="R40" s="103"/>
    </row>
    <row r="41" spans="5:18" ht="12.75">
      <c r="E41" s="103"/>
      <c r="F41" s="103"/>
      <c r="G41" s="103"/>
      <c r="H41" s="103"/>
      <c r="I41" s="103"/>
      <c r="J41" s="103"/>
      <c r="K41" s="103"/>
      <c r="L41" s="103"/>
      <c r="M41" s="103"/>
      <c r="N41" s="103"/>
      <c r="O41" s="103"/>
      <c r="P41" s="103"/>
      <c r="Q41" s="103"/>
      <c r="R41" s="103"/>
    </row>
    <row r="42" spans="5:18" ht="12.75">
      <c r="E42" s="103"/>
      <c r="F42" s="103"/>
      <c r="G42" s="103"/>
      <c r="H42" s="103"/>
      <c r="I42" s="103"/>
      <c r="J42" s="103"/>
      <c r="K42" s="103"/>
      <c r="L42" s="103"/>
      <c r="M42" s="103"/>
      <c r="N42" s="103"/>
      <c r="O42" s="103"/>
      <c r="P42" s="103"/>
      <c r="Q42" s="103"/>
      <c r="R42" s="103"/>
    </row>
  </sheetData>
  <sheetProtection/>
  <mergeCells count="29">
    <mergeCell ref="Q8:Q9"/>
    <mergeCell ref="B9:D9"/>
    <mergeCell ref="F9:H9"/>
    <mergeCell ref="J9:L9"/>
    <mergeCell ref="N9:P9"/>
    <mergeCell ref="E10:E11"/>
    <mergeCell ref="I10:I11"/>
    <mergeCell ref="M10:M11"/>
    <mergeCell ref="Q10:Q11"/>
    <mergeCell ref="F7:I7"/>
    <mergeCell ref="J7:M7"/>
    <mergeCell ref="N7:Q7"/>
    <mergeCell ref="B8:D8"/>
    <mergeCell ref="E8:E9"/>
    <mergeCell ref="F8:H8"/>
    <mergeCell ref="I8:I9"/>
    <mergeCell ref="J8:L8"/>
    <mergeCell ref="M8:M9"/>
    <mergeCell ref="N8:P8"/>
    <mergeCell ref="A2:I2"/>
    <mergeCell ref="J2:Q2"/>
    <mergeCell ref="B4:I4"/>
    <mergeCell ref="J4:Q4"/>
    <mergeCell ref="A5:A6"/>
    <mergeCell ref="B5:E7"/>
    <mergeCell ref="F5:Q5"/>
    <mergeCell ref="F6:I6"/>
    <mergeCell ref="J6:M6"/>
    <mergeCell ref="N6:Q6"/>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1:T42"/>
  <sheetViews>
    <sheetView showGridLines="0" view="pageBreakPreview" zoomScale="55" zoomScaleNormal="120" zoomScaleSheetLayoutView="55" zoomScalePageLayoutView="0" workbookViewId="0" topLeftCell="A1">
      <pane xSplit="1" ySplit="11" topLeftCell="B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6.5"/>
  <cols>
    <col min="1" max="1" width="11.625" style="158" customWidth="1"/>
    <col min="2" max="9" width="9.50390625" style="11" customWidth="1"/>
    <col min="10" max="12" width="9.875" style="11" customWidth="1"/>
    <col min="13" max="13" width="20.625" style="11" customWidth="1"/>
    <col min="14" max="14" width="35.625" style="11" customWidth="1"/>
    <col min="15" max="15" width="10.75390625" style="11" customWidth="1"/>
    <col min="16" max="16" width="9.00390625" style="11" customWidth="1"/>
    <col min="17" max="17" width="9.00390625" style="11" hidden="1" customWidth="1"/>
    <col min="18" max="21" width="0" style="11" hidden="1" customWidth="1"/>
    <col min="22" max="16384" width="9.00390625" style="11" customWidth="1"/>
  </cols>
  <sheetData>
    <row r="1" spans="1:15" s="158" customFormat="1" ht="18" customHeight="1">
      <c r="A1" s="157" t="s">
        <v>1077</v>
      </c>
      <c r="B1" s="157"/>
      <c r="N1" s="159" t="s">
        <v>930</v>
      </c>
      <c r="O1" s="159"/>
    </row>
    <row r="2" spans="1:17" s="158" customFormat="1" ht="34.5" customHeight="1">
      <c r="A2" s="686" t="s">
        <v>1146</v>
      </c>
      <c r="B2" s="686"/>
      <c r="C2" s="686"/>
      <c r="D2" s="686"/>
      <c r="E2" s="686"/>
      <c r="F2" s="686"/>
      <c r="G2" s="686"/>
      <c r="H2" s="686"/>
      <c r="I2" s="686"/>
      <c r="J2" s="716" t="s">
        <v>931</v>
      </c>
      <c r="K2" s="716"/>
      <c r="L2" s="716"/>
      <c r="M2" s="716"/>
      <c r="N2" s="716"/>
      <c r="O2" s="174"/>
      <c r="P2" s="174"/>
      <c r="Q2" s="174"/>
    </row>
    <row r="3" spans="1:15" s="158" customFormat="1" ht="15" customHeight="1" thickBot="1">
      <c r="A3" s="179"/>
      <c r="I3" s="159" t="s">
        <v>1147</v>
      </c>
      <c r="N3" s="161" t="s">
        <v>932</v>
      </c>
      <c r="O3" s="176"/>
    </row>
    <row r="4" spans="1:15" s="158" customFormat="1" ht="18" customHeight="1">
      <c r="A4" s="266"/>
      <c r="B4" s="761" t="s">
        <v>662</v>
      </c>
      <c r="C4" s="762"/>
      <c r="D4" s="762"/>
      <c r="E4" s="762"/>
      <c r="F4" s="762"/>
      <c r="G4" s="762"/>
      <c r="H4" s="762"/>
      <c r="I4" s="763"/>
      <c r="J4" s="764" t="s">
        <v>1148</v>
      </c>
      <c r="K4" s="764"/>
      <c r="L4" s="764"/>
      <c r="M4" s="765"/>
      <c r="N4" s="766" t="s">
        <v>663</v>
      </c>
      <c r="O4" s="291"/>
    </row>
    <row r="5" spans="1:15" s="158" customFormat="1" ht="18" customHeight="1">
      <c r="A5" s="754" t="s">
        <v>664</v>
      </c>
      <c r="B5" s="760" t="s">
        <v>665</v>
      </c>
      <c r="C5" s="756"/>
      <c r="D5" s="756"/>
      <c r="E5" s="756"/>
      <c r="F5" s="756"/>
      <c r="G5" s="756"/>
      <c r="H5" s="756"/>
      <c r="I5" s="757"/>
      <c r="J5" s="734" t="s">
        <v>263</v>
      </c>
      <c r="K5" s="734"/>
      <c r="L5" s="734"/>
      <c r="M5" s="735"/>
      <c r="N5" s="767"/>
      <c r="O5" s="291"/>
    </row>
    <row r="6" spans="1:15" s="158" customFormat="1" ht="18" customHeight="1">
      <c r="A6" s="754"/>
      <c r="B6" s="698" t="s">
        <v>666</v>
      </c>
      <c r="C6" s="699"/>
      <c r="D6" s="699"/>
      <c r="E6" s="735"/>
      <c r="F6" s="710" t="s">
        <v>667</v>
      </c>
      <c r="G6" s="699"/>
      <c r="H6" s="699"/>
      <c r="I6" s="735"/>
      <c r="J6" s="697" t="s">
        <v>1149</v>
      </c>
      <c r="K6" s="697"/>
      <c r="L6" s="692"/>
      <c r="M6" s="681" t="s">
        <v>668</v>
      </c>
      <c r="N6" s="767"/>
      <c r="O6" s="291"/>
    </row>
    <row r="7" spans="1:15" s="158" customFormat="1" ht="18" customHeight="1">
      <c r="A7" s="267"/>
      <c r="B7" s="723" t="s">
        <v>669</v>
      </c>
      <c r="C7" s="685"/>
      <c r="D7" s="685"/>
      <c r="E7" s="679"/>
      <c r="F7" s="685" t="s">
        <v>670</v>
      </c>
      <c r="G7" s="685"/>
      <c r="H7" s="685"/>
      <c r="I7" s="679"/>
      <c r="J7" s="699"/>
      <c r="K7" s="699"/>
      <c r="L7" s="700"/>
      <c r="M7" s="725"/>
      <c r="N7" s="767"/>
      <c r="O7" s="180"/>
    </row>
    <row r="8" spans="1:15" s="158" customFormat="1" ht="18" customHeight="1">
      <c r="A8" s="267" t="s">
        <v>216</v>
      </c>
      <c r="B8" s="758" t="s">
        <v>671</v>
      </c>
      <c r="C8" s="759"/>
      <c r="D8" s="740"/>
      <c r="E8" s="682" t="s">
        <v>672</v>
      </c>
      <c r="F8" s="739" t="s">
        <v>671</v>
      </c>
      <c r="G8" s="759"/>
      <c r="H8" s="740"/>
      <c r="I8" s="682" t="s">
        <v>672</v>
      </c>
      <c r="J8" s="699" t="s">
        <v>264</v>
      </c>
      <c r="K8" s="699"/>
      <c r="L8" s="700"/>
      <c r="M8" s="725" t="s">
        <v>265</v>
      </c>
      <c r="N8" s="710" t="s">
        <v>266</v>
      </c>
      <c r="O8" s="180"/>
    </row>
    <row r="9" spans="1:15" s="158" customFormat="1" ht="18" customHeight="1">
      <c r="A9" s="267"/>
      <c r="B9" s="723" t="s">
        <v>234</v>
      </c>
      <c r="C9" s="685"/>
      <c r="D9" s="679"/>
      <c r="E9" s="726"/>
      <c r="F9" s="677" t="s">
        <v>234</v>
      </c>
      <c r="G9" s="685"/>
      <c r="H9" s="679"/>
      <c r="I9" s="726"/>
      <c r="J9" s="685"/>
      <c r="K9" s="685"/>
      <c r="L9" s="679"/>
      <c r="M9" s="725"/>
      <c r="N9" s="710"/>
      <c r="O9" s="180"/>
    </row>
    <row r="10" spans="1:15" s="158" customFormat="1" ht="18" customHeight="1">
      <c r="A10" s="267"/>
      <c r="B10" s="292" t="s">
        <v>673</v>
      </c>
      <c r="C10" s="272" t="s">
        <v>674</v>
      </c>
      <c r="D10" s="272" t="s">
        <v>675</v>
      </c>
      <c r="E10" s="725" t="s">
        <v>261</v>
      </c>
      <c r="F10" s="272" t="s">
        <v>673</v>
      </c>
      <c r="G10" s="272" t="s">
        <v>674</v>
      </c>
      <c r="H10" s="272" t="s">
        <v>675</v>
      </c>
      <c r="I10" s="725" t="s">
        <v>261</v>
      </c>
      <c r="J10" s="275" t="s">
        <v>673</v>
      </c>
      <c r="K10" s="272" t="s">
        <v>674</v>
      </c>
      <c r="L10" s="272" t="s">
        <v>675</v>
      </c>
      <c r="M10" s="725"/>
      <c r="N10" s="710"/>
      <c r="O10" s="180"/>
    </row>
    <row r="11" spans="1:17" s="180" customFormat="1" ht="18" customHeight="1" thickBot="1">
      <c r="A11" s="166"/>
      <c r="B11" s="242" t="s">
        <v>262</v>
      </c>
      <c r="C11" s="243" t="s">
        <v>171</v>
      </c>
      <c r="D11" s="243" t="s">
        <v>172</v>
      </c>
      <c r="E11" s="729"/>
      <c r="F11" s="243" t="s">
        <v>262</v>
      </c>
      <c r="G11" s="243" t="s">
        <v>171</v>
      </c>
      <c r="H11" s="243" t="s">
        <v>172</v>
      </c>
      <c r="I11" s="729"/>
      <c r="J11" s="245" t="s">
        <v>262</v>
      </c>
      <c r="K11" s="243" t="s">
        <v>171</v>
      </c>
      <c r="L11" s="243" t="s">
        <v>172</v>
      </c>
      <c r="M11" s="729"/>
      <c r="N11" s="731"/>
      <c r="Q11" s="180" t="s">
        <v>1338</v>
      </c>
    </row>
    <row r="12" spans="1:17" s="14" customFormat="1" ht="55.5" customHeight="1">
      <c r="A12" s="203" t="s">
        <v>1339</v>
      </c>
      <c r="B12" s="34">
        <f aca="true" t="shared" si="0" ref="B12:B21">SUM(C12:D12)</f>
        <v>4371</v>
      </c>
      <c r="C12" s="34">
        <v>1929</v>
      </c>
      <c r="D12" s="34">
        <v>2442</v>
      </c>
      <c r="E12" s="34">
        <v>310272</v>
      </c>
      <c r="F12" s="34">
        <f aca="true" t="shared" si="1" ref="F12:F21">SUM(G12:H12)</f>
        <v>2098</v>
      </c>
      <c r="G12" s="34">
        <v>1371</v>
      </c>
      <c r="H12" s="34">
        <v>727</v>
      </c>
      <c r="I12" s="34">
        <v>73398</v>
      </c>
      <c r="J12" s="81">
        <v>35615</v>
      </c>
      <c r="K12" s="54" t="s">
        <v>92</v>
      </c>
      <c r="L12" s="54" t="s">
        <v>92</v>
      </c>
      <c r="M12" s="81">
        <v>2568014</v>
      </c>
      <c r="N12" s="48">
        <f>(J12+'11-10 '!B12)/'11-10續 '!Q12*100</f>
        <v>26.9988515447041</v>
      </c>
      <c r="O12" s="48"/>
      <c r="Q12" s="14">
        <v>157603</v>
      </c>
    </row>
    <row r="13" spans="1:17" ht="55.5" customHeight="1">
      <c r="A13" s="203" t="s">
        <v>1340</v>
      </c>
      <c r="B13" s="34">
        <f t="shared" si="0"/>
        <v>4353</v>
      </c>
      <c r="C13" s="34">
        <v>1896</v>
      </c>
      <c r="D13" s="34">
        <v>2457</v>
      </c>
      <c r="E13" s="34">
        <v>311514</v>
      </c>
      <c r="F13" s="34">
        <f t="shared" si="1"/>
        <v>2134</v>
      </c>
      <c r="G13" s="34">
        <v>1414</v>
      </c>
      <c r="H13" s="34">
        <v>720</v>
      </c>
      <c r="I13" s="34">
        <v>75906</v>
      </c>
      <c r="J13" s="81">
        <f>K13+L13</f>
        <v>35347</v>
      </c>
      <c r="K13" s="81">
        <v>16351</v>
      </c>
      <c r="L13" s="81">
        <v>18996</v>
      </c>
      <c r="M13" s="81">
        <v>2555354</v>
      </c>
      <c r="N13" s="48">
        <f>(J13+'11-10 '!B13)/'11-10續 '!Q13*100</f>
        <v>26.08910432554262</v>
      </c>
      <c r="O13" s="48"/>
      <c r="Q13" s="11">
        <v>161945</v>
      </c>
    </row>
    <row r="14" spans="1:17" ht="55.5" customHeight="1">
      <c r="A14" s="203" t="s">
        <v>1341</v>
      </c>
      <c r="B14" s="34">
        <f t="shared" si="0"/>
        <v>4272</v>
      </c>
      <c r="C14" s="34">
        <v>1815</v>
      </c>
      <c r="D14" s="34">
        <v>2457</v>
      </c>
      <c r="E14" s="34">
        <v>308820</v>
      </c>
      <c r="F14" s="34">
        <f t="shared" si="1"/>
        <v>2003</v>
      </c>
      <c r="G14" s="34">
        <v>1316</v>
      </c>
      <c r="H14" s="34">
        <v>687</v>
      </c>
      <c r="I14" s="34">
        <v>72903</v>
      </c>
      <c r="J14" s="81">
        <f aca="true" t="shared" si="2" ref="J14:J21">K14+L14</f>
        <v>34655</v>
      </c>
      <c r="K14" s="81">
        <v>15945</v>
      </c>
      <c r="L14" s="81">
        <v>18710</v>
      </c>
      <c r="M14" s="81">
        <v>2520068</v>
      </c>
      <c r="N14" s="48">
        <f>(J14+'11-10 '!B14)/'11-10續 '!Q14*100</f>
        <v>25.06060018422456</v>
      </c>
      <c r="O14" s="48"/>
      <c r="Q14" s="11">
        <v>165016</v>
      </c>
    </row>
    <row r="15" spans="1:17" ht="55.5" customHeight="1">
      <c r="A15" s="203" t="s">
        <v>1342</v>
      </c>
      <c r="B15" s="34">
        <f t="shared" si="0"/>
        <v>4227</v>
      </c>
      <c r="C15" s="34">
        <v>1791</v>
      </c>
      <c r="D15" s="34">
        <v>2436</v>
      </c>
      <c r="E15" s="34">
        <v>302610</v>
      </c>
      <c r="F15" s="34">
        <f t="shared" si="1"/>
        <v>1995</v>
      </c>
      <c r="G15" s="34">
        <v>1279</v>
      </c>
      <c r="H15" s="34">
        <v>716</v>
      </c>
      <c r="I15" s="34">
        <v>71622</v>
      </c>
      <c r="J15" s="81">
        <f t="shared" si="2"/>
        <v>33879</v>
      </c>
      <c r="K15" s="81">
        <v>15425</v>
      </c>
      <c r="L15" s="81">
        <v>18454</v>
      </c>
      <c r="M15" s="81">
        <v>2462242</v>
      </c>
      <c r="N15" s="48">
        <f>(J15+'11-10 '!B15)/'11-10續 '!Q15*100</f>
        <v>24.03096636412173</v>
      </c>
      <c r="O15" s="48"/>
      <c r="Q15" s="11">
        <v>168570</v>
      </c>
    </row>
    <row r="16" spans="1:17" ht="55.5" customHeight="1">
      <c r="A16" s="203" t="s">
        <v>1343</v>
      </c>
      <c r="B16" s="34">
        <f t="shared" si="0"/>
        <v>4145</v>
      </c>
      <c r="C16" s="34">
        <v>1748</v>
      </c>
      <c r="D16" s="34">
        <v>2397</v>
      </c>
      <c r="E16" s="34">
        <v>355500</v>
      </c>
      <c r="F16" s="34">
        <f t="shared" si="1"/>
        <v>1919</v>
      </c>
      <c r="G16" s="34">
        <v>1172</v>
      </c>
      <c r="H16" s="34">
        <v>747</v>
      </c>
      <c r="I16" s="34">
        <v>82602</v>
      </c>
      <c r="J16" s="81">
        <f t="shared" si="2"/>
        <v>33078</v>
      </c>
      <c r="K16" s="81">
        <v>14941</v>
      </c>
      <c r="L16" s="81">
        <v>18137</v>
      </c>
      <c r="M16" s="81">
        <v>2775051</v>
      </c>
      <c r="N16" s="48">
        <f>(J16+'11-10 '!B16)/'11-10續 '!Q16*100</f>
        <v>22.68084422664203</v>
      </c>
      <c r="O16" s="48"/>
      <c r="Q16" s="11">
        <v>174266</v>
      </c>
    </row>
    <row r="17" spans="1:17" ht="55.5" customHeight="1">
      <c r="A17" s="203" t="s">
        <v>1344</v>
      </c>
      <c r="B17" s="40">
        <f t="shared" si="0"/>
        <v>3880</v>
      </c>
      <c r="C17" s="34">
        <v>1633</v>
      </c>
      <c r="D17" s="34">
        <v>2247</v>
      </c>
      <c r="E17" s="34">
        <v>336708</v>
      </c>
      <c r="F17" s="34">
        <f t="shared" si="1"/>
        <v>2046</v>
      </c>
      <c r="G17" s="34">
        <v>1183</v>
      </c>
      <c r="H17" s="34">
        <v>863</v>
      </c>
      <c r="I17" s="34">
        <v>87757</v>
      </c>
      <c r="J17" s="81">
        <f t="shared" si="2"/>
        <v>32219</v>
      </c>
      <c r="K17" s="81">
        <v>14390</v>
      </c>
      <c r="L17" s="81">
        <v>17829</v>
      </c>
      <c r="M17" s="81">
        <v>2740269</v>
      </c>
      <c r="N17" s="48">
        <v>21.19</v>
      </c>
      <c r="O17" s="48"/>
      <c r="Q17" s="11">
        <v>181860</v>
      </c>
    </row>
    <row r="18" spans="1:17" ht="55.5" customHeight="1">
      <c r="A18" s="203" t="s">
        <v>1345</v>
      </c>
      <c r="B18" s="80">
        <f t="shared" si="0"/>
        <v>3946</v>
      </c>
      <c r="C18" s="81">
        <v>1678</v>
      </c>
      <c r="D18" s="81">
        <v>2268</v>
      </c>
      <c r="E18" s="81">
        <v>342410</v>
      </c>
      <c r="F18" s="81">
        <f t="shared" si="1"/>
        <v>1800</v>
      </c>
      <c r="G18" s="81">
        <v>1014</v>
      </c>
      <c r="H18" s="81">
        <v>786</v>
      </c>
      <c r="I18" s="81">
        <v>78401</v>
      </c>
      <c r="J18" s="81">
        <f t="shared" si="2"/>
        <v>31107</v>
      </c>
      <c r="K18" s="81">
        <v>13775</v>
      </c>
      <c r="L18" s="81">
        <v>17332</v>
      </c>
      <c r="M18" s="81">
        <v>2654989</v>
      </c>
      <c r="N18" s="48">
        <f>(J18+'11-10 '!B18)/'11-10續 '!Q18*100</f>
        <v>19.448301059554257</v>
      </c>
      <c r="O18" s="48"/>
      <c r="Q18" s="11">
        <v>191590</v>
      </c>
    </row>
    <row r="19" spans="1:17" s="14" customFormat="1" ht="55.5" customHeight="1">
      <c r="A19" s="203" t="s">
        <v>1346</v>
      </c>
      <c r="B19" s="80">
        <f t="shared" si="0"/>
        <v>4480</v>
      </c>
      <c r="C19" s="34">
        <v>1908</v>
      </c>
      <c r="D19" s="34">
        <v>2572</v>
      </c>
      <c r="E19" s="34">
        <f>383580000/1000</f>
        <v>383580</v>
      </c>
      <c r="F19" s="81">
        <f t="shared" si="1"/>
        <v>1173</v>
      </c>
      <c r="G19" s="34">
        <v>715</v>
      </c>
      <c r="H19" s="34">
        <v>458</v>
      </c>
      <c r="I19" s="34">
        <f>50655600/1000</f>
        <v>50655.6</v>
      </c>
      <c r="J19" s="81">
        <f t="shared" si="2"/>
        <v>30084</v>
      </c>
      <c r="K19" s="54">
        <v>13249</v>
      </c>
      <c r="L19" s="54">
        <v>16835</v>
      </c>
      <c r="M19" s="34">
        <f>2566265242/1000</f>
        <v>2566265.242</v>
      </c>
      <c r="N19" s="48">
        <f>(J19+'11-10 '!B19)/'11-10續 '!Q19*100</f>
        <v>17.76309973972401</v>
      </c>
      <c r="O19" s="48"/>
      <c r="Q19" s="100">
        <v>203630</v>
      </c>
    </row>
    <row r="20" spans="1:17" s="14" customFormat="1" ht="55.5" customHeight="1">
      <c r="A20" s="203" t="s">
        <v>1347</v>
      </c>
      <c r="B20" s="80">
        <f t="shared" si="0"/>
        <v>4814</v>
      </c>
      <c r="C20" s="34">
        <v>2020</v>
      </c>
      <c r="D20" s="34">
        <v>2794</v>
      </c>
      <c r="E20" s="34">
        <f>420211678/1000</f>
        <v>420211.678</v>
      </c>
      <c r="F20" s="81">
        <f t="shared" si="1"/>
        <v>999</v>
      </c>
      <c r="G20" s="34">
        <v>614</v>
      </c>
      <c r="H20" s="34">
        <v>385</v>
      </c>
      <c r="I20" s="34">
        <f>43809402/1000</f>
        <v>43809.402</v>
      </c>
      <c r="J20" s="34">
        <f t="shared" si="2"/>
        <v>29073</v>
      </c>
      <c r="K20" s="54">
        <v>12673</v>
      </c>
      <c r="L20" s="54">
        <v>16400</v>
      </c>
      <c r="M20" s="34">
        <f>2557693312/1000</f>
        <v>2557693.312</v>
      </c>
      <c r="N20" s="48">
        <f>(J20+'11-10 '!B20)/'11-10續 '!Q20*100</f>
        <v>16.130340663096728</v>
      </c>
      <c r="O20" s="48"/>
      <c r="Q20" s="14">
        <v>219425</v>
      </c>
    </row>
    <row r="21" spans="1:20" s="14" customFormat="1" ht="55.5" customHeight="1" thickBot="1">
      <c r="A21" s="204" t="s">
        <v>1348</v>
      </c>
      <c r="B21" s="99">
        <f t="shared" si="0"/>
        <v>4984</v>
      </c>
      <c r="C21" s="43">
        <v>2072</v>
      </c>
      <c r="D21" s="43">
        <v>2912</v>
      </c>
      <c r="E21" s="43">
        <f>434309285/1000</f>
        <v>434309.285</v>
      </c>
      <c r="F21" s="82">
        <f t="shared" si="1"/>
        <v>1137</v>
      </c>
      <c r="G21" s="43">
        <v>643</v>
      </c>
      <c r="H21" s="43">
        <v>494</v>
      </c>
      <c r="I21" s="43">
        <f>49055188/1000</f>
        <v>49055.188</v>
      </c>
      <c r="J21" s="43">
        <f t="shared" si="2"/>
        <v>28080</v>
      </c>
      <c r="K21" s="63">
        <v>12141</v>
      </c>
      <c r="L21" s="63">
        <v>15939</v>
      </c>
      <c r="M21" s="82">
        <f>2478327524/1000</f>
        <v>2478327.524</v>
      </c>
      <c r="N21" s="495">
        <f>(J21+'11-10 '!B21)/'11-10續 '!Q21*100</f>
        <v>14.7311062524364</v>
      </c>
      <c r="O21" s="48"/>
      <c r="Q21" s="14">
        <v>236004</v>
      </c>
      <c r="T21" s="134">
        <f>J21+'11-10 '!B21</f>
        <v>34766</v>
      </c>
    </row>
    <row r="22" spans="1:4" s="102" customFormat="1" ht="15" customHeight="1">
      <c r="A22" s="289"/>
      <c r="B22" s="101"/>
      <c r="C22" s="101"/>
      <c r="D22" s="101"/>
    </row>
    <row r="23" spans="1:4" s="102" customFormat="1" ht="15" customHeight="1">
      <c r="A23" s="289"/>
      <c r="B23" s="101"/>
      <c r="C23" s="101"/>
      <c r="D23" s="101"/>
    </row>
    <row r="24" spans="2:4" ht="15" customHeight="1">
      <c r="B24" s="101"/>
      <c r="C24" s="101"/>
      <c r="D24" s="101"/>
    </row>
    <row r="28" s="103" customFormat="1" ht="12.75">
      <c r="A28" s="290"/>
    </row>
    <row r="29" spans="1:18" ht="12.75">
      <c r="A29" s="159"/>
      <c r="B29" s="103"/>
      <c r="C29" s="103"/>
      <c r="D29" s="103"/>
      <c r="E29" s="103"/>
      <c r="F29" s="103"/>
      <c r="G29" s="103"/>
      <c r="H29" s="103"/>
      <c r="I29" s="103"/>
      <c r="J29" s="103"/>
      <c r="K29" s="103"/>
      <c r="L29" s="103"/>
      <c r="M29" s="103"/>
      <c r="N29" s="103"/>
      <c r="O29" s="103"/>
      <c r="P29" s="103"/>
      <c r="Q29" s="103"/>
      <c r="R29" s="103"/>
    </row>
    <row r="30" spans="1:18" ht="12.75">
      <c r="A30" s="159"/>
      <c r="B30" s="103"/>
      <c r="C30" s="103"/>
      <c r="D30" s="103"/>
      <c r="E30" s="103"/>
      <c r="F30" s="103"/>
      <c r="G30" s="103"/>
      <c r="H30" s="103"/>
      <c r="I30" s="103"/>
      <c r="J30" s="103"/>
      <c r="K30" s="103"/>
      <c r="L30" s="103"/>
      <c r="M30" s="103"/>
      <c r="N30" s="103"/>
      <c r="O30" s="103"/>
      <c r="P30" s="103"/>
      <c r="Q30" s="103"/>
      <c r="R30" s="103"/>
    </row>
    <row r="31" spans="1:18" ht="12.75">
      <c r="A31" s="290"/>
      <c r="B31" s="103"/>
      <c r="C31" s="103"/>
      <c r="D31" s="103"/>
      <c r="E31" s="103"/>
      <c r="F31" s="103"/>
      <c r="G31" s="103"/>
      <c r="H31" s="103"/>
      <c r="I31" s="103"/>
      <c r="J31" s="103"/>
      <c r="K31" s="103"/>
      <c r="L31" s="103"/>
      <c r="M31" s="103"/>
      <c r="N31" s="103"/>
      <c r="O31" s="103"/>
      <c r="P31" s="103"/>
      <c r="Q31" s="103"/>
      <c r="R31" s="103"/>
    </row>
    <row r="32" spans="1:18" ht="12.75">
      <c r="A32" s="159"/>
      <c r="B32" s="103"/>
      <c r="C32" s="103"/>
      <c r="D32" s="103"/>
      <c r="E32" s="103"/>
      <c r="F32" s="103"/>
      <c r="G32" s="103"/>
      <c r="H32" s="103"/>
      <c r="I32" s="103"/>
      <c r="J32" s="103"/>
      <c r="K32" s="103"/>
      <c r="L32" s="103"/>
      <c r="M32" s="103"/>
      <c r="N32" s="103"/>
      <c r="O32" s="103"/>
      <c r="P32" s="103"/>
      <c r="Q32" s="103"/>
      <c r="R32" s="103"/>
    </row>
    <row r="33" spans="1:18" ht="12.75">
      <c r="A33" s="159"/>
      <c r="B33" s="103"/>
      <c r="C33" s="103"/>
      <c r="D33" s="103"/>
      <c r="E33" s="103"/>
      <c r="F33" s="103"/>
      <c r="G33" s="103"/>
      <c r="H33" s="103"/>
      <c r="I33" s="103"/>
      <c r="J33" s="103"/>
      <c r="K33" s="103"/>
      <c r="L33" s="103"/>
      <c r="M33" s="103"/>
      <c r="N33" s="103"/>
      <c r="O33" s="103"/>
      <c r="P33" s="103"/>
      <c r="Q33" s="103"/>
      <c r="R33" s="103"/>
    </row>
    <row r="34" spans="1:18" ht="12.75">
      <c r="A34" s="290"/>
      <c r="B34" s="103"/>
      <c r="C34" s="103"/>
      <c r="D34" s="103"/>
      <c r="E34" s="103"/>
      <c r="F34" s="103"/>
      <c r="G34" s="103"/>
      <c r="H34" s="103"/>
      <c r="I34" s="103"/>
      <c r="J34" s="103"/>
      <c r="K34" s="103"/>
      <c r="L34" s="103"/>
      <c r="M34" s="103"/>
      <c r="N34" s="103"/>
      <c r="O34" s="103"/>
      <c r="P34" s="103"/>
      <c r="Q34" s="103"/>
      <c r="R34" s="103"/>
    </row>
    <row r="35" spans="1:18" ht="12.75">
      <c r="A35" s="159"/>
      <c r="B35" s="103"/>
      <c r="C35" s="103"/>
      <c r="D35" s="103"/>
      <c r="E35" s="103"/>
      <c r="F35" s="103"/>
      <c r="G35" s="103"/>
      <c r="H35" s="103"/>
      <c r="I35" s="103"/>
      <c r="J35" s="103"/>
      <c r="K35" s="103"/>
      <c r="L35" s="103"/>
      <c r="M35" s="103"/>
      <c r="N35" s="103"/>
      <c r="O35" s="103"/>
      <c r="P35" s="103"/>
      <c r="Q35" s="103"/>
      <c r="R35" s="103"/>
    </row>
    <row r="36" spans="1:18" ht="12.75">
      <c r="A36" s="159"/>
      <c r="B36" s="103"/>
      <c r="C36" s="103"/>
      <c r="D36" s="103"/>
      <c r="E36" s="103"/>
      <c r="F36" s="103"/>
      <c r="G36" s="103"/>
      <c r="H36" s="103"/>
      <c r="I36" s="103"/>
      <c r="J36" s="103"/>
      <c r="K36" s="103"/>
      <c r="L36" s="103"/>
      <c r="M36" s="103"/>
      <c r="N36" s="103"/>
      <c r="O36" s="103"/>
      <c r="P36" s="103"/>
      <c r="Q36" s="103"/>
      <c r="R36" s="103"/>
    </row>
    <row r="37" spans="1:18" ht="12.75">
      <c r="A37" s="290"/>
      <c r="B37" s="103"/>
      <c r="C37" s="103"/>
      <c r="D37" s="103"/>
      <c r="E37" s="103"/>
      <c r="F37" s="103"/>
      <c r="G37" s="103"/>
      <c r="H37" s="103"/>
      <c r="I37" s="103"/>
      <c r="J37" s="103"/>
      <c r="K37" s="103"/>
      <c r="L37" s="103"/>
      <c r="M37" s="103"/>
      <c r="P37" s="103"/>
      <c r="Q37" s="103"/>
      <c r="R37" s="103"/>
    </row>
    <row r="38" spans="1:18" ht="12.75">
      <c r="A38" s="159"/>
      <c r="B38" s="103"/>
      <c r="C38" s="103"/>
      <c r="D38" s="103"/>
      <c r="E38" s="103"/>
      <c r="F38" s="103"/>
      <c r="G38" s="103"/>
      <c r="H38" s="103"/>
      <c r="I38" s="103"/>
      <c r="J38" s="103"/>
      <c r="K38" s="103"/>
      <c r="L38" s="103"/>
      <c r="M38" s="103"/>
      <c r="N38" s="103"/>
      <c r="O38" s="103"/>
      <c r="P38" s="103"/>
      <c r="Q38" s="103"/>
      <c r="R38" s="103"/>
    </row>
    <row r="39" spans="2:18" ht="12.75">
      <c r="B39" s="103"/>
      <c r="C39" s="103"/>
      <c r="D39" s="103"/>
      <c r="E39" s="103"/>
      <c r="F39" s="103"/>
      <c r="G39" s="103"/>
      <c r="H39" s="103"/>
      <c r="I39" s="103"/>
      <c r="J39" s="103"/>
      <c r="K39" s="103"/>
      <c r="L39" s="103"/>
      <c r="M39" s="103"/>
      <c r="N39" s="103"/>
      <c r="O39" s="103"/>
      <c r="P39" s="103"/>
      <c r="Q39" s="103"/>
      <c r="R39" s="103"/>
    </row>
    <row r="40" spans="2:18" ht="12.75">
      <c r="B40" s="103"/>
      <c r="C40" s="103"/>
      <c r="D40" s="103"/>
      <c r="E40" s="103"/>
      <c r="F40" s="103"/>
      <c r="G40" s="103"/>
      <c r="H40" s="103"/>
      <c r="I40" s="103"/>
      <c r="J40" s="103"/>
      <c r="K40" s="103"/>
      <c r="L40" s="103"/>
      <c r="M40" s="103"/>
      <c r="N40" s="103"/>
      <c r="O40" s="103"/>
      <c r="P40" s="103"/>
      <c r="Q40" s="103"/>
      <c r="R40" s="103"/>
    </row>
    <row r="41" spans="2:18" ht="12.75">
      <c r="B41" s="103"/>
      <c r="C41" s="103"/>
      <c r="D41" s="103"/>
      <c r="E41" s="103"/>
      <c r="F41" s="103"/>
      <c r="G41" s="103"/>
      <c r="H41" s="103"/>
      <c r="I41" s="103"/>
      <c r="J41" s="103"/>
      <c r="K41" s="103"/>
      <c r="L41" s="103"/>
      <c r="M41" s="103"/>
      <c r="N41" s="103"/>
      <c r="O41" s="103"/>
      <c r="P41" s="103"/>
      <c r="Q41" s="103"/>
      <c r="R41" s="103"/>
    </row>
    <row r="42" spans="2:18" ht="12.75">
      <c r="B42" s="103"/>
      <c r="C42" s="103"/>
      <c r="D42" s="103"/>
      <c r="E42" s="103"/>
      <c r="F42" s="103"/>
      <c r="G42" s="103"/>
      <c r="H42" s="103"/>
      <c r="I42" s="103"/>
      <c r="J42" s="103"/>
      <c r="K42" s="103"/>
      <c r="L42" s="103"/>
      <c r="M42" s="103"/>
      <c r="N42" s="103"/>
      <c r="O42" s="103"/>
      <c r="P42" s="103"/>
      <c r="Q42" s="103"/>
      <c r="R42" s="103"/>
    </row>
  </sheetData>
  <sheetProtection/>
  <mergeCells count="25">
    <mergeCell ref="A2:I2"/>
    <mergeCell ref="J8:L9"/>
    <mergeCell ref="J2:N2"/>
    <mergeCell ref="B4:I4"/>
    <mergeCell ref="J4:M4"/>
    <mergeCell ref="N4:N7"/>
    <mergeCell ref="J5:M5"/>
    <mergeCell ref="M8:M11"/>
    <mergeCell ref="B6:E6"/>
    <mergeCell ref="N8:N11"/>
    <mergeCell ref="E10:E11"/>
    <mergeCell ref="J6:L7"/>
    <mergeCell ref="M6:M7"/>
    <mergeCell ref="F7:I7"/>
    <mergeCell ref="F9:H9"/>
    <mergeCell ref="I10:I11"/>
    <mergeCell ref="A5:A6"/>
    <mergeCell ref="B5:I5"/>
    <mergeCell ref="B8:D8"/>
    <mergeCell ref="E8:E9"/>
    <mergeCell ref="F8:H8"/>
    <mergeCell ref="I8:I9"/>
    <mergeCell ref="B7:E7"/>
    <mergeCell ref="B9:D9"/>
    <mergeCell ref="F6:I6"/>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colBreaks count="1" manualBreakCount="1">
    <brk id="9" max="20" man="1"/>
  </colBreaks>
  <legacyDrawing r:id="rId2"/>
</worksheet>
</file>

<file path=xl/worksheets/sheet16.xml><?xml version="1.0" encoding="utf-8"?>
<worksheet xmlns="http://schemas.openxmlformats.org/spreadsheetml/2006/main" xmlns:r="http://schemas.openxmlformats.org/officeDocument/2006/relationships">
  <dimension ref="A1:M29"/>
  <sheetViews>
    <sheetView showGridLines="0" view="pageBreakPreview" zoomScale="85" zoomScaleNormal="120" zoomScaleSheetLayoutView="85"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3" sqref="A3:K3"/>
    </sheetView>
  </sheetViews>
  <sheetFormatPr defaultColWidth="9.00390625" defaultRowHeight="16.5"/>
  <cols>
    <col min="1" max="1" width="10.00390625" style="158" customWidth="1"/>
    <col min="2" max="6" width="7.75390625" style="11" customWidth="1"/>
    <col min="7" max="7" width="8.00390625" style="11" customWidth="1"/>
    <col min="8" max="9" width="7.75390625" style="11" customWidth="1"/>
    <col min="10" max="10" width="7.75390625" style="44" customWidth="1"/>
    <col min="11" max="11" width="7.75390625" style="11" customWidth="1"/>
    <col min="12" max="12" width="9.00390625" style="11" customWidth="1"/>
    <col min="13" max="13" width="0" style="11" hidden="1" customWidth="1"/>
    <col min="14" max="16384" width="9.00390625" style="11" customWidth="1"/>
  </cols>
  <sheetData>
    <row r="1" spans="1:10" s="158" customFormat="1" ht="18" customHeight="1">
      <c r="A1" s="157" t="s">
        <v>1077</v>
      </c>
      <c r="I1" s="717"/>
      <c r="J1" s="717"/>
    </row>
    <row r="2" spans="1:11" s="158" customFormat="1" ht="24.75" customHeight="1">
      <c r="A2" s="686" t="s">
        <v>1140</v>
      </c>
      <c r="B2" s="686"/>
      <c r="C2" s="686"/>
      <c r="D2" s="686"/>
      <c r="E2" s="686"/>
      <c r="F2" s="686"/>
      <c r="G2" s="686"/>
      <c r="H2" s="686"/>
      <c r="I2" s="686"/>
      <c r="J2" s="686"/>
      <c r="K2" s="686"/>
    </row>
    <row r="3" spans="1:11" s="158" customFormat="1" ht="21.75" customHeight="1">
      <c r="A3" s="686" t="s">
        <v>267</v>
      </c>
      <c r="B3" s="686"/>
      <c r="C3" s="686"/>
      <c r="D3" s="686"/>
      <c r="E3" s="686"/>
      <c r="F3" s="686"/>
      <c r="G3" s="686"/>
      <c r="H3" s="686"/>
      <c r="I3" s="686"/>
      <c r="J3" s="686"/>
      <c r="K3" s="686"/>
    </row>
    <row r="4" spans="1:11" s="158" customFormat="1" ht="15" customHeight="1">
      <c r="A4" s="179"/>
      <c r="B4" s="179"/>
      <c r="C4" s="179"/>
      <c r="H4" s="769" t="s">
        <v>1141</v>
      </c>
      <c r="I4" s="769"/>
      <c r="J4" s="769"/>
      <c r="K4" s="769"/>
    </row>
    <row r="5" spans="1:11" s="158" customFormat="1" ht="15" customHeight="1" thickBot="1">
      <c r="A5" s="160"/>
      <c r="B5" s="160"/>
      <c r="C5" s="160"/>
      <c r="D5" s="160"/>
      <c r="E5" s="160"/>
      <c r="F5" s="160"/>
      <c r="G5" s="179"/>
      <c r="H5" s="742" t="s">
        <v>268</v>
      </c>
      <c r="I5" s="742"/>
      <c r="J5" s="742"/>
      <c r="K5" s="742"/>
    </row>
    <row r="6" spans="1:11" s="158" customFormat="1" ht="18" customHeight="1">
      <c r="A6" s="770" t="s">
        <v>483</v>
      </c>
      <c r="B6" s="689" t="s">
        <v>1142</v>
      </c>
      <c r="C6" s="691"/>
      <c r="D6" s="709" t="s">
        <v>1143</v>
      </c>
      <c r="E6" s="691"/>
      <c r="F6" s="743" t="s">
        <v>659</v>
      </c>
      <c r="G6" s="736" t="s">
        <v>660</v>
      </c>
      <c r="H6" s="718"/>
      <c r="I6" s="718"/>
      <c r="J6" s="718"/>
      <c r="K6" s="718"/>
    </row>
    <row r="7" spans="1:11" s="158" customFormat="1" ht="18" customHeight="1">
      <c r="A7" s="754"/>
      <c r="B7" s="698"/>
      <c r="C7" s="700"/>
      <c r="D7" s="710"/>
      <c r="E7" s="700"/>
      <c r="F7" s="725"/>
      <c r="G7" s="680" t="s">
        <v>269</v>
      </c>
      <c r="H7" s="741"/>
      <c r="I7" s="741"/>
      <c r="J7" s="741"/>
      <c r="K7" s="741"/>
    </row>
    <row r="8" spans="1:13" s="158" customFormat="1" ht="30" customHeight="1">
      <c r="A8" s="754"/>
      <c r="B8" s="727" t="s">
        <v>270</v>
      </c>
      <c r="C8" s="681" t="s">
        <v>661</v>
      </c>
      <c r="D8" s="725" t="s">
        <v>271</v>
      </c>
      <c r="E8" s="681" t="s">
        <v>661</v>
      </c>
      <c r="F8" s="725"/>
      <c r="G8" s="682" t="s">
        <v>461</v>
      </c>
      <c r="H8" s="696" t="s">
        <v>1144</v>
      </c>
      <c r="I8" s="692"/>
      <c r="J8" s="618" t="s">
        <v>1145</v>
      </c>
      <c r="K8" s="618" t="s">
        <v>1333</v>
      </c>
      <c r="M8" s="409" t="s">
        <v>1334</v>
      </c>
    </row>
    <row r="9" spans="1:11" s="158" customFormat="1" ht="24.75" customHeight="1">
      <c r="A9" s="754" t="s">
        <v>216</v>
      </c>
      <c r="B9" s="727"/>
      <c r="C9" s="725"/>
      <c r="D9" s="725"/>
      <c r="E9" s="725"/>
      <c r="F9" s="725"/>
      <c r="G9" s="726"/>
      <c r="H9" s="288"/>
      <c r="I9" s="156" t="s">
        <v>661</v>
      </c>
      <c r="J9" s="619"/>
      <c r="K9" s="619"/>
    </row>
    <row r="10" spans="1:11" s="158" customFormat="1" ht="52.5" customHeight="1" thickBot="1">
      <c r="A10" s="768"/>
      <c r="B10" s="728"/>
      <c r="C10" s="243" t="s">
        <v>272</v>
      </c>
      <c r="D10" s="729"/>
      <c r="E10" s="243" t="s">
        <v>272</v>
      </c>
      <c r="F10" s="243" t="s">
        <v>273</v>
      </c>
      <c r="G10" s="243" t="s">
        <v>6</v>
      </c>
      <c r="H10" s="243" t="s">
        <v>274</v>
      </c>
      <c r="I10" s="243" t="s">
        <v>272</v>
      </c>
      <c r="J10" s="264" t="s">
        <v>275</v>
      </c>
      <c r="K10" s="264" t="s">
        <v>875</v>
      </c>
    </row>
    <row r="11" spans="1:11" s="90" customFormat="1" ht="43.5" customHeight="1">
      <c r="A11" s="287" t="s">
        <v>877</v>
      </c>
      <c r="B11" s="39">
        <v>27</v>
      </c>
      <c r="C11" s="39">
        <v>7</v>
      </c>
      <c r="D11" s="39">
        <v>914</v>
      </c>
      <c r="E11" s="39">
        <v>81</v>
      </c>
      <c r="F11" s="39" t="s">
        <v>42</v>
      </c>
      <c r="G11" s="34">
        <f aca="true" t="shared" si="0" ref="G11:G17">SUM(H11,J11)</f>
        <v>1248501</v>
      </c>
      <c r="H11" s="39">
        <v>1248501</v>
      </c>
      <c r="I11" s="39">
        <v>109793</v>
      </c>
      <c r="J11" s="41" t="s">
        <v>42</v>
      </c>
      <c r="K11" s="81" t="s">
        <v>876</v>
      </c>
    </row>
    <row r="12" spans="1:11" ht="43.5" customHeight="1">
      <c r="A12" s="203" t="s">
        <v>499</v>
      </c>
      <c r="B12" s="34">
        <v>21</v>
      </c>
      <c r="C12" s="34">
        <v>2</v>
      </c>
      <c r="D12" s="34">
        <v>1281</v>
      </c>
      <c r="E12" s="34">
        <v>175</v>
      </c>
      <c r="F12" s="34" t="s">
        <v>42</v>
      </c>
      <c r="G12" s="34">
        <f t="shared" si="0"/>
        <v>1264783</v>
      </c>
      <c r="H12" s="34">
        <v>1264783</v>
      </c>
      <c r="I12" s="34">
        <v>14827</v>
      </c>
      <c r="J12" s="81" t="s">
        <v>42</v>
      </c>
      <c r="K12" s="81" t="s">
        <v>876</v>
      </c>
    </row>
    <row r="13" spans="1:11" ht="43.5" customHeight="1">
      <c r="A13" s="203" t="s">
        <v>500</v>
      </c>
      <c r="B13" s="34">
        <v>11</v>
      </c>
      <c r="C13" s="34">
        <v>1</v>
      </c>
      <c r="D13" s="34">
        <v>408</v>
      </c>
      <c r="E13" s="34">
        <v>9</v>
      </c>
      <c r="F13" s="34" t="s">
        <v>42</v>
      </c>
      <c r="G13" s="34">
        <f t="shared" si="0"/>
        <v>509751</v>
      </c>
      <c r="H13" s="34">
        <v>509751</v>
      </c>
      <c r="I13" s="34">
        <v>4292</v>
      </c>
      <c r="J13" s="81" t="s">
        <v>42</v>
      </c>
      <c r="K13" s="81" t="s">
        <v>876</v>
      </c>
    </row>
    <row r="14" spans="1:11" ht="43.5" customHeight="1">
      <c r="A14" s="203" t="s">
        <v>608</v>
      </c>
      <c r="B14" s="34">
        <v>11</v>
      </c>
      <c r="C14" s="34">
        <v>2</v>
      </c>
      <c r="D14" s="34">
        <v>821</v>
      </c>
      <c r="E14" s="34">
        <v>10</v>
      </c>
      <c r="F14" s="34" t="s">
        <v>42</v>
      </c>
      <c r="G14" s="34">
        <f t="shared" si="0"/>
        <v>941972</v>
      </c>
      <c r="H14" s="34">
        <v>941972</v>
      </c>
      <c r="I14" s="34">
        <v>18856</v>
      </c>
      <c r="J14" s="81" t="s">
        <v>42</v>
      </c>
      <c r="K14" s="81" t="s">
        <v>876</v>
      </c>
    </row>
    <row r="15" spans="1:11" ht="43.5" customHeight="1">
      <c r="A15" s="203" t="s">
        <v>609</v>
      </c>
      <c r="B15" s="34">
        <v>106</v>
      </c>
      <c r="C15" s="34">
        <v>37</v>
      </c>
      <c r="D15" s="34">
        <v>1858</v>
      </c>
      <c r="E15" s="34">
        <v>556</v>
      </c>
      <c r="F15" s="34" t="s">
        <v>42</v>
      </c>
      <c r="G15" s="34">
        <f t="shared" si="0"/>
        <v>1935519</v>
      </c>
      <c r="H15" s="34">
        <v>1935519</v>
      </c>
      <c r="I15" s="34">
        <v>526770</v>
      </c>
      <c r="J15" s="81" t="s">
        <v>42</v>
      </c>
      <c r="K15" s="81" t="s">
        <v>876</v>
      </c>
    </row>
    <row r="16" spans="1:11" ht="43.5" customHeight="1">
      <c r="A16" s="203" t="s">
        <v>610</v>
      </c>
      <c r="B16" s="34">
        <v>71</v>
      </c>
      <c r="C16" s="34">
        <v>29</v>
      </c>
      <c r="D16" s="34">
        <v>765</v>
      </c>
      <c r="E16" s="34">
        <v>278</v>
      </c>
      <c r="F16" s="34">
        <v>3</v>
      </c>
      <c r="G16" s="34">
        <f t="shared" si="0"/>
        <v>1019430</v>
      </c>
      <c r="H16" s="34">
        <v>1003289</v>
      </c>
      <c r="I16" s="34">
        <v>349694</v>
      </c>
      <c r="J16" s="81">
        <v>16141</v>
      </c>
      <c r="K16" s="81" t="s">
        <v>876</v>
      </c>
    </row>
    <row r="17" spans="1:11" ht="43.5" customHeight="1">
      <c r="A17" s="203" t="s">
        <v>611</v>
      </c>
      <c r="B17" s="81">
        <v>21</v>
      </c>
      <c r="C17" s="81">
        <v>7</v>
      </c>
      <c r="D17" s="81">
        <v>568</v>
      </c>
      <c r="E17" s="81">
        <v>97</v>
      </c>
      <c r="F17" s="81" t="s">
        <v>876</v>
      </c>
      <c r="G17" s="81">
        <f t="shared" si="0"/>
        <v>524941</v>
      </c>
      <c r="H17" s="81">
        <v>524941</v>
      </c>
      <c r="I17" s="81">
        <v>130925</v>
      </c>
      <c r="J17" s="81" t="s">
        <v>876</v>
      </c>
      <c r="K17" s="81" t="s">
        <v>876</v>
      </c>
    </row>
    <row r="18" spans="1:11" ht="43.5" customHeight="1">
      <c r="A18" s="203" t="s">
        <v>505</v>
      </c>
      <c r="B18" s="34">
        <v>77</v>
      </c>
      <c r="C18" s="34">
        <v>42</v>
      </c>
      <c r="D18" s="34">
        <v>1372</v>
      </c>
      <c r="E18" s="34">
        <v>763</v>
      </c>
      <c r="F18" s="34">
        <v>498</v>
      </c>
      <c r="G18" s="81">
        <f>SUM(H18,J18)</f>
        <v>4717229</v>
      </c>
      <c r="H18" s="34">
        <v>2397210</v>
      </c>
      <c r="I18" s="34">
        <v>994715</v>
      </c>
      <c r="J18" s="81">
        <v>2320019</v>
      </c>
      <c r="K18" s="81" t="s">
        <v>876</v>
      </c>
    </row>
    <row r="19" spans="1:11" ht="43.5" customHeight="1">
      <c r="A19" s="203" t="s">
        <v>878</v>
      </c>
      <c r="B19" s="34">
        <v>192</v>
      </c>
      <c r="C19" s="34">
        <v>50</v>
      </c>
      <c r="D19" s="34">
        <v>3539</v>
      </c>
      <c r="E19" s="81">
        <v>668</v>
      </c>
      <c r="F19" s="81">
        <v>672</v>
      </c>
      <c r="G19" s="81">
        <f>SUM(H19,J19,K19)</f>
        <v>13454100</v>
      </c>
      <c r="H19" s="81">
        <v>8506647</v>
      </c>
      <c r="I19" s="81">
        <v>1920581</v>
      </c>
      <c r="J19" s="81" t="s">
        <v>876</v>
      </c>
      <c r="K19" s="81">
        <v>4947453</v>
      </c>
    </row>
    <row r="20" spans="1:11" s="90" customFormat="1" ht="43.5" customHeight="1" thickBot="1">
      <c r="A20" s="413" t="s">
        <v>1204</v>
      </c>
      <c r="B20" s="87">
        <v>179</v>
      </c>
      <c r="C20" s="87">
        <v>52</v>
      </c>
      <c r="D20" s="87">
        <v>3558</v>
      </c>
      <c r="E20" s="87">
        <v>949</v>
      </c>
      <c r="F20" s="87">
        <v>651</v>
      </c>
      <c r="G20" s="82">
        <f>SUM(H20,J20,K20)</f>
        <v>10510537</v>
      </c>
      <c r="H20" s="87">
        <v>8051779</v>
      </c>
      <c r="I20" s="87">
        <v>2691257</v>
      </c>
      <c r="J20" s="82" t="s">
        <v>82</v>
      </c>
      <c r="K20" s="82">
        <v>2458758</v>
      </c>
    </row>
    <row r="21" spans="1:13" s="158" customFormat="1" ht="15" customHeight="1">
      <c r="A21" s="178" t="s">
        <v>1080</v>
      </c>
      <c r="B21" s="281"/>
      <c r="C21" s="281"/>
      <c r="J21" s="253"/>
      <c r="M21" s="176"/>
    </row>
    <row r="22" spans="1:13" s="158" customFormat="1" ht="15" customHeight="1">
      <c r="A22" s="178" t="s">
        <v>879</v>
      </c>
      <c r="J22" s="253"/>
      <c r="M22" s="176"/>
    </row>
    <row r="23" spans="1:13" s="158" customFormat="1" ht="15" customHeight="1">
      <c r="A23" s="178" t="s">
        <v>1289</v>
      </c>
      <c r="B23" s="281"/>
      <c r="C23" s="281"/>
      <c r="J23" s="218"/>
      <c r="M23" s="176"/>
    </row>
    <row r="24" spans="1:10" s="158" customFormat="1" ht="12.75">
      <c r="A24" s="178" t="s">
        <v>1335</v>
      </c>
      <c r="J24" s="218"/>
    </row>
    <row r="25" spans="1:10" s="158" customFormat="1" ht="12.75">
      <c r="A25" s="247" t="s">
        <v>1288</v>
      </c>
      <c r="J25" s="218"/>
    </row>
    <row r="26" spans="1:10" s="158" customFormat="1" ht="12.75">
      <c r="A26" s="247" t="s">
        <v>1336</v>
      </c>
      <c r="J26" s="218"/>
    </row>
    <row r="27" spans="1:10" s="158" customFormat="1" ht="12.75">
      <c r="A27" s="178" t="s">
        <v>1337</v>
      </c>
      <c r="J27" s="218"/>
    </row>
    <row r="28" spans="1:10" s="158" customFormat="1" ht="12.75">
      <c r="A28" s="178"/>
      <c r="J28" s="218"/>
    </row>
    <row r="29" s="158" customFormat="1" ht="12.75">
      <c r="J29" s="218"/>
    </row>
  </sheetData>
  <sheetProtection/>
  <mergeCells count="20">
    <mergeCell ref="A2:K2"/>
    <mergeCell ref="A3:K3"/>
    <mergeCell ref="I1:J1"/>
    <mergeCell ref="H4:K4"/>
    <mergeCell ref="H5:K5"/>
    <mergeCell ref="A6:A8"/>
    <mergeCell ref="B6:C7"/>
    <mergeCell ref="D6:E7"/>
    <mergeCell ref="F6:F9"/>
    <mergeCell ref="G6:K6"/>
    <mergeCell ref="A9:A10"/>
    <mergeCell ref="G7:K7"/>
    <mergeCell ref="B8:B10"/>
    <mergeCell ref="C8:C9"/>
    <mergeCell ref="D8:D10"/>
    <mergeCell ref="E8:E9"/>
    <mergeCell ref="G8:G9"/>
    <mergeCell ref="H8:I8"/>
    <mergeCell ref="J8:J9"/>
    <mergeCell ref="K8:K9"/>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H37"/>
  <sheetViews>
    <sheetView showGridLines="0" view="pageBreakPreview" zoomScale="85" zoomScaleNormal="120" zoomScaleSheetLayoutView="85" zoomScalePageLayoutView="0" workbookViewId="0" topLeftCell="A1">
      <selection activeCell="N19" sqref="N19"/>
    </sheetView>
  </sheetViews>
  <sheetFormatPr defaultColWidth="9.00390625" defaultRowHeight="16.5"/>
  <cols>
    <col min="1" max="1" width="10.625" style="158" customWidth="1"/>
    <col min="2" max="7" width="12.75390625" style="11" customWidth="1"/>
    <col min="8" max="16384" width="9.00390625" style="11" customWidth="1"/>
  </cols>
  <sheetData>
    <row r="1" spans="1:8" s="158" customFormat="1" ht="18" customHeight="1">
      <c r="A1" s="157"/>
      <c r="B1" s="281"/>
      <c r="C1" s="281"/>
      <c r="G1" s="159" t="s">
        <v>0</v>
      </c>
      <c r="H1" s="179"/>
    </row>
    <row r="2" spans="1:8" s="158" customFormat="1" ht="24.75" customHeight="1">
      <c r="A2" s="686" t="s">
        <v>1136</v>
      </c>
      <c r="B2" s="686"/>
      <c r="C2" s="686"/>
      <c r="D2" s="686"/>
      <c r="E2" s="686"/>
      <c r="F2" s="686"/>
      <c r="G2" s="686"/>
      <c r="H2" s="179"/>
    </row>
    <row r="3" spans="1:8" s="158" customFormat="1" ht="21.75" customHeight="1">
      <c r="A3" s="686" t="s">
        <v>276</v>
      </c>
      <c r="B3" s="686"/>
      <c r="C3" s="686"/>
      <c r="D3" s="686"/>
      <c r="E3" s="686"/>
      <c r="F3" s="686"/>
      <c r="G3" s="686"/>
      <c r="H3" s="179"/>
    </row>
    <row r="4" spans="1:8" s="158" customFormat="1" ht="15" customHeight="1">
      <c r="A4" s="179"/>
      <c r="B4" s="179"/>
      <c r="C4" s="179"/>
      <c r="F4" s="179"/>
      <c r="G4" s="282" t="s">
        <v>1099</v>
      </c>
      <c r="H4" s="179"/>
    </row>
    <row r="5" spans="1:8" s="158" customFormat="1" ht="15" customHeight="1" thickBot="1">
      <c r="A5" s="179"/>
      <c r="B5" s="179"/>
      <c r="C5" s="179"/>
      <c r="F5" s="179"/>
      <c r="G5" s="159" t="s">
        <v>277</v>
      </c>
      <c r="H5" s="179"/>
    </row>
    <row r="6" spans="1:8" s="158" customFormat="1" ht="18" customHeight="1">
      <c r="A6" s="770" t="s">
        <v>483</v>
      </c>
      <c r="B6" s="771" t="s">
        <v>644</v>
      </c>
      <c r="C6" s="772"/>
      <c r="D6" s="773"/>
      <c r="E6" s="763" t="s">
        <v>933</v>
      </c>
      <c r="F6" s="774"/>
      <c r="G6" s="775"/>
      <c r="H6" s="179"/>
    </row>
    <row r="7" spans="1:8" s="158" customFormat="1" ht="18" customHeight="1">
      <c r="A7" s="754"/>
      <c r="B7" s="776" t="s">
        <v>1137</v>
      </c>
      <c r="C7" s="777"/>
      <c r="D7" s="777"/>
      <c r="E7" s="777" t="s">
        <v>653</v>
      </c>
      <c r="F7" s="777"/>
      <c r="G7" s="777"/>
      <c r="H7" s="179"/>
    </row>
    <row r="8" spans="1:8" s="158" customFormat="1" ht="27.75" customHeight="1">
      <c r="A8" s="754" t="s">
        <v>216</v>
      </c>
      <c r="B8" s="778" t="s">
        <v>6</v>
      </c>
      <c r="C8" s="779"/>
      <c r="D8" s="779"/>
      <c r="E8" s="780" t="s">
        <v>278</v>
      </c>
      <c r="F8" s="780"/>
      <c r="G8" s="780"/>
      <c r="H8" s="179"/>
    </row>
    <row r="9" spans="1:8" s="158" customFormat="1" ht="18" customHeight="1">
      <c r="A9" s="754"/>
      <c r="B9" s="781" t="s">
        <v>649</v>
      </c>
      <c r="C9" s="776"/>
      <c r="D9" s="273" t="s">
        <v>650</v>
      </c>
      <c r="E9" s="782" t="s">
        <v>649</v>
      </c>
      <c r="F9" s="776"/>
      <c r="G9" s="274" t="s">
        <v>656</v>
      </c>
      <c r="H9" s="179"/>
    </row>
    <row r="10" spans="1:8" s="158" customFormat="1" ht="19.5" customHeight="1" thickBot="1">
      <c r="A10" s="768"/>
      <c r="B10" s="783" t="s">
        <v>279</v>
      </c>
      <c r="C10" s="784"/>
      <c r="D10" s="284" t="s">
        <v>261</v>
      </c>
      <c r="E10" s="785" t="s">
        <v>279</v>
      </c>
      <c r="F10" s="784"/>
      <c r="G10" s="277" t="s">
        <v>280</v>
      </c>
      <c r="H10" s="179"/>
    </row>
    <row r="11" spans="1:8" ht="30" customHeight="1" thickBot="1">
      <c r="A11" s="269" t="s">
        <v>532</v>
      </c>
      <c r="B11" s="96"/>
      <c r="C11" s="96">
        <f>F11+'11-12續 '!C9+'11-12續 '!F9</f>
        <v>3020</v>
      </c>
      <c r="D11" s="96">
        <f>G11+'11-12續 '!D9+'11-12續 '!G9</f>
        <v>22256631</v>
      </c>
      <c r="E11" s="85"/>
      <c r="F11" s="96">
        <v>107</v>
      </c>
      <c r="G11" s="96">
        <v>27276</v>
      </c>
      <c r="H11" s="14"/>
    </row>
    <row r="12" spans="1:8" ht="19.5" customHeight="1" thickBot="1">
      <c r="A12" s="179"/>
      <c r="B12" s="14"/>
      <c r="C12" s="14"/>
      <c r="F12" s="14"/>
      <c r="G12" s="154"/>
      <c r="H12" s="14"/>
    </row>
    <row r="13" spans="1:8" s="158" customFormat="1" ht="18" customHeight="1">
      <c r="A13" s="770" t="s">
        <v>483</v>
      </c>
      <c r="B13" s="787" t="s">
        <v>573</v>
      </c>
      <c r="C13" s="788"/>
      <c r="D13" s="773" t="s">
        <v>1273</v>
      </c>
      <c r="E13" s="788"/>
      <c r="F13" s="788"/>
      <c r="G13" s="788"/>
      <c r="H13" s="179"/>
    </row>
    <row r="14" spans="1:8" s="158" customFormat="1" ht="18" customHeight="1">
      <c r="A14" s="754"/>
      <c r="B14" s="789"/>
      <c r="C14" s="790"/>
      <c r="D14" s="791" t="s">
        <v>1272</v>
      </c>
      <c r="E14" s="792"/>
      <c r="F14" s="792"/>
      <c r="G14" s="792"/>
      <c r="H14" s="179"/>
    </row>
    <row r="15" spans="1:8" s="158" customFormat="1" ht="27.75" customHeight="1">
      <c r="A15" s="754"/>
      <c r="B15" s="789"/>
      <c r="C15" s="790"/>
      <c r="D15" s="739" t="s">
        <v>1138</v>
      </c>
      <c r="E15" s="740"/>
      <c r="F15" s="696" t="s">
        <v>1139</v>
      </c>
      <c r="G15" s="740"/>
      <c r="H15" s="179"/>
    </row>
    <row r="16" spans="1:7" s="179" customFormat="1" ht="27.75" customHeight="1">
      <c r="A16" s="754" t="s">
        <v>216</v>
      </c>
      <c r="B16" s="786" t="s">
        <v>281</v>
      </c>
      <c r="C16" s="778"/>
      <c r="D16" s="685" t="s">
        <v>282</v>
      </c>
      <c r="E16" s="679"/>
      <c r="F16" s="677" t="s">
        <v>283</v>
      </c>
      <c r="G16" s="679"/>
    </row>
    <row r="17" spans="1:8" s="158" customFormat="1" ht="18" customHeight="1">
      <c r="A17" s="754"/>
      <c r="B17" s="283" t="s">
        <v>649</v>
      </c>
      <c r="C17" s="273" t="s">
        <v>650</v>
      </c>
      <c r="D17" s="274" t="s">
        <v>655</v>
      </c>
      <c r="E17" s="273" t="s">
        <v>656</v>
      </c>
      <c r="F17" s="274" t="s">
        <v>655</v>
      </c>
      <c r="G17" s="274" t="s">
        <v>656</v>
      </c>
      <c r="H17" s="179"/>
    </row>
    <row r="18" spans="1:7" s="179" customFormat="1" ht="30" customHeight="1" thickBot="1">
      <c r="A18" s="768"/>
      <c r="B18" s="285" t="s">
        <v>284</v>
      </c>
      <c r="C18" s="284" t="s">
        <v>261</v>
      </c>
      <c r="D18" s="286" t="s">
        <v>285</v>
      </c>
      <c r="E18" s="284" t="s">
        <v>280</v>
      </c>
      <c r="F18" s="286" t="s">
        <v>285</v>
      </c>
      <c r="G18" s="277" t="s">
        <v>280</v>
      </c>
    </row>
    <row r="19" spans="1:8" s="90" customFormat="1" ht="30" customHeight="1">
      <c r="A19" s="280" t="s">
        <v>657</v>
      </c>
      <c r="B19" s="136">
        <f>D19+F19+'11-12續 '!B16+'11-12續 '!D16+'11-12續 '!F16+'11-12續 '!H16+'11-12續 '!L16</f>
        <v>3735</v>
      </c>
      <c r="C19" s="91">
        <f>E19+G19+'11-12續 '!C16+'11-12續 '!E16+'11-12續 '!G16+'11-12續 '!I16+'11-12續 '!M16</f>
        <v>25938658</v>
      </c>
      <c r="D19" s="84">
        <v>732</v>
      </c>
      <c r="E19" s="84">
        <v>6178500</v>
      </c>
      <c r="F19" s="84">
        <v>1790</v>
      </c>
      <c r="G19" s="84">
        <v>12423000</v>
      </c>
      <c r="H19" s="93"/>
    </row>
    <row r="20" spans="1:8" s="90" customFormat="1" ht="30" customHeight="1">
      <c r="A20" s="280" t="s">
        <v>658</v>
      </c>
      <c r="B20" s="97">
        <f>D20+F20+'11-12續 '!B17+'11-12續 '!F17+'11-12續 '!H17+'11-12續 '!L17</f>
        <v>4663</v>
      </c>
      <c r="C20" s="91">
        <f>E20+G20+'11-12續 '!C17+'11-12續 '!G17+'11-12續 '!I17+'11-12續 '!M17</f>
        <v>26928893</v>
      </c>
      <c r="D20" s="84">
        <v>757</v>
      </c>
      <c r="E20" s="84">
        <v>6394000</v>
      </c>
      <c r="F20" s="84">
        <v>2547</v>
      </c>
      <c r="G20" s="84">
        <v>13192339</v>
      </c>
      <c r="H20" s="93"/>
    </row>
    <row r="21" spans="1:8" s="90" customFormat="1" ht="30" customHeight="1">
      <c r="A21" s="280" t="s">
        <v>534</v>
      </c>
      <c r="B21" s="97">
        <f>D21+F21+'11-12續 '!B18+'11-12續 '!D18+'11-12續 '!F18+'11-12續 '!H18+'11-12續 '!L18</f>
        <v>4598</v>
      </c>
      <c r="C21" s="91">
        <f>E21+G21+'11-12續 '!C18+'11-12續 '!E18+'11-12續 '!G18+'11-12續 '!I18+'11-12續 '!M18</f>
        <v>26840442</v>
      </c>
      <c r="D21" s="84">
        <v>1085</v>
      </c>
      <c r="E21" s="84">
        <v>10797000</v>
      </c>
      <c r="F21" s="84">
        <v>2366</v>
      </c>
      <c r="G21" s="84">
        <v>10642000</v>
      </c>
      <c r="H21" s="93"/>
    </row>
    <row r="22" spans="1:8" s="90" customFormat="1" ht="30" customHeight="1">
      <c r="A22" s="280" t="s">
        <v>535</v>
      </c>
      <c r="B22" s="97">
        <f>D22+F22+'11-12續 '!B19+'11-12續 '!D19+'11-12續 '!F19+'11-12續 '!H19+'11-12續 '!L19</f>
        <v>5154</v>
      </c>
      <c r="C22" s="91">
        <f>E22+G22+'11-12續 '!C19+'11-12續 '!E19+'11-12續 '!G19+'11-12續 '!I19+'11-12續 '!M19</f>
        <v>35723815</v>
      </c>
      <c r="D22" s="84">
        <v>1165</v>
      </c>
      <c r="E22" s="84">
        <v>12664400</v>
      </c>
      <c r="F22" s="84">
        <v>2670</v>
      </c>
      <c r="G22" s="84">
        <v>14968417</v>
      </c>
      <c r="H22" s="93"/>
    </row>
    <row r="23" spans="1:8" s="90" customFormat="1" ht="30" customHeight="1">
      <c r="A23" s="280" t="s">
        <v>536</v>
      </c>
      <c r="B23" s="97">
        <f>D23+F23+'11-12續 '!B20+'11-12續 '!D20+'11-12續 '!F20+'11-12續 '!H20+'11-12續 '!L20</f>
        <v>4321</v>
      </c>
      <c r="C23" s="91">
        <f>E23+G23+'11-12續 '!C20+'11-12續 '!E20+'11-12續 '!G20+'11-12續 '!I20+'11-12續 '!M20</f>
        <v>30852616</v>
      </c>
      <c r="D23" s="84">
        <v>965</v>
      </c>
      <c r="E23" s="84">
        <v>9939870</v>
      </c>
      <c r="F23" s="84">
        <v>2281</v>
      </c>
      <c r="G23" s="84">
        <v>14093270</v>
      </c>
      <c r="H23" s="93"/>
    </row>
    <row r="24" spans="1:8" s="90" customFormat="1" ht="30" customHeight="1">
      <c r="A24" s="280" t="s">
        <v>537</v>
      </c>
      <c r="B24" s="97">
        <f>D24+F24+'11-12續 '!B21+'11-12續 '!D21+'11-12續 '!F21+'11-12續 '!H21+'11-12續 '!L21</f>
        <v>4596</v>
      </c>
      <c r="C24" s="91">
        <f>E24+G24+'11-12續 '!C21+'11-12續 '!E21+'11-12續 '!G21+'11-12續 '!I21+'11-12續 '!M21</f>
        <v>29789520</v>
      </c>
      <c r="D24" s="91">
        <v>1095</v>
      </c>
      <c r="E24" s="91">
        <v>9978000</v>
      </c>
      <c r="F24" s="91">
        <v>2491</v>
      </c>
      <c r="G24" s="91">
        <v>13881000</v>
      </c>
      <c r="H24" s="93"/>
    </row>
    <row r="25" spans="1:8" ht="30" customHeight="1">
      <c r="A25" s="180" t="s">
        <v>538</v>
      </c>
      <c r="B25" s="97">
        <f>D25+F25+'11-12續 '!B22+'11-12續 '!D22+'11-12續 '!F22+'11-12續 '!H22+'11-12續 '!L22</f>
        <v>4686</v>
      </c>
      <c r="C25" s="91">
        <f>E25+G25+'11-12續 '!C22+'11-12續 '!E22+'11-12續 '!G22+'11-12續 '!I22+'11-12續 '!M22</f>
        <v>33828306</v>
      </c>
      <c r="D25" s="137">
        <v>1122</v>
      </c>
      <c r="E25" s="137">
        <v>10671487</v>
      </c>
      <c r="F25" s="137">
        <v>2769</v>
      </c>
      <c r="G25" s="137">
        <v>18223000</v>
      </c>
      <c r="H25" s="14"/>
    </row>
    <row r="26" spans="1:8" ht="30" customHeight="1">
      <c r="A26" s="280" t="s">
        <v>934</v>
      </c>
      <c r="B26" s="97">
        <f>D26+F26+'11-12續 '!B23+'11-12續 '!D23+'11-12續 '!F23+'11-12續 '!H23+'11-12續 '!L23</f>
        <v>4337</v>
      </c>
      <c r="C26" s="91">
        <f>E26+G26+'11-12續 '!C23+'11-12續 '!E23+'11-12續 '!G23+'11-12續 '!I23+'11-12續 '!M23</f>
        <v>33962418</v>
      </c>
      <c r="D26" s="84">
        <v>977</v>
      </c>
      <c r="E26" s="83">
        <v>9053000</v>
      </c>
      <c r="F26" s="84">
        <v>2596</v>
      </c>
      <c r="G26" s="83">
        <v>19641310</v>
      </c>
      <c r="H26" s="14"/>
    </row>
    <row r="27" spans="1:8" ht="30" customHeight="1" thickBot="1">
      <c r="A27" s="269" t="s">
        <v>1205</v>
      </c>
      <c r="B27" s="491">
        <f>D27+F27+'11-12續 '!B24+'11-12續 '!D24+'11-12續 '!F24+'11-12續 '!H24+'11-12續 '!L24</f>
        <v>4020</v>
      </c>
      <c r="C27" s="492">
        <f>E27+G27+'11-12續 '!C24+'11-12續 '!E24+'11-12續 '!G24+'11-12續 '!I24+'11-12續 '!M24</f>
        <v>35700253</v>
      </c>
      <c r="D27" s="493">
        <v>828</v>
      </c>
      <c r="E27" s="493">
        <v>8542000</v>
      </c>
      <c r="F27" s="493">
        <v>2501</v>
      </c>
      <c r="G27" s="493">
        <v>21946000</v>
      </c>
      <c r="H27" s="14"/>
    </row>
    <row r="28" spans="1:8" s="158" customFormat="1" ht="13.5" customHeight="1">
      <c r="A28" s="174" t="s">
        <v>1330</v>
      </c>
      <c r="B28" s="176"/>
      <c r="C28" s="176"/>
      <c r="F28" s="176"/>
      <c r="G28" s="176"/>
      <c r="H28" s="179"/>
    </row>
    <row r="29" spans="1:8" s="158" customFormat="1" ht="13.5" customHeight="1">
      <c r="A29" s="247" t="s">
        <v>1268</v>
      </c>
      <c r="H29" s="179"/>
    </row>
    <row r="30" spans="1:8" s="158" customFormat="1" ht="13.5" customHeight="1">
      <c r="A30" s="247" t="s">
        <v>1331</v>
      </c>
      <c r="H30" s="179"/>
    </row>
    <row r="31" spans="1:8" s="158" customFormat="1" ht="13.5" customHeight="1">
      <c r="A31" s="247" t="s">
        <v>1332</v>
      </c>
      <c r="H31" s="179"/>
    </row>
    <row r="32" spans="1:8" s="158" customFormat="1" ht="13.5" customHeight="1">
      <c r="A32" s="247" t="s">
        <v>1276</v>
      </c>
      <c r="H32" s="179"/>
    </row>
    <row r="33" spans="1:8" s="158" customFormat="1" ht="13.5" customHeight="1">
      <c r="A33" s="247" t="s">
        <v>1269</v>
      </c>
      <c r="H33" s="179"/>
    </row>
    <row r="34" spans="1:8" s="158" customFormat="1" ht="13.5" customHeight="1">
      <c r="A34" s="247" t="s">
        <v>1435</v>
      </c>
      <c r="H34" s="179"/>
    </row>
    <row r="35" spans="1:8" s="158" customFormat="1" ht="13.5" customHeight="1">
      <c r="A35" s="507" t="s">
        <v>1436</v>
      </c>
      <c r="H35" s="179"/>
    </row>
    <row r="36" spans="1:8" s="158" customFormat="1" ht="13.5" customHeight="1">
      <c r="A36" s="507" t="s">
        <v>1437</v>
      </c>
      <c r="H36" s="179"/>
    </row>
    <row r="37" spans="1:8" s="158" customFormat="1" ht="13.5" customHeight="1">
      <c r="A37" s="247"/>
      <c r="H37" s="179"/>
    </row>
    <row r="38" s="158" customFormat="1" ht="12.75"/>
    <row r="39" s="158" customFormat="1" ht="12.75"/>
    <row r="40" s="158" customFormat="1" ht="12.75"/>
    <row r="41" s="158" customFormat="1" ht="12.75"/>
    <row r="42" s="158" customFormat="1" ht="12.75"/>
  </sheetData>
  <sheetProtection/>
  <mergeCells count="24">
    <mergeCell ref="A16:A18"/>
    <mergeCell ref="B16:C16"/>
    <mergeCell ref="D16:E16"/>
    <mergeCell ref="F16:G16"/>
    <mergeCell ref="A13:A15"/>
    <mergeCell ref="B13:C15"/>
    <mergeCell ref="D13:G13"/>
    <mergeCell ref="D14:G14"/>
    <mergeCell ref="D15:E15"/>
    <mergeCell ref="F15:G15"/>
    <mergeCell ref="A8:A10"/>
    <mergeCell ref="B8:D8"/>
    <mergeCell ref="E8:G8"/>
    <mergeCell ref="B9:C9"/>
    <mergeCell ref="E9:F9"/>
    <mergeCell ref="B10:C10"/>
    <mergeCell ref="E10:F10"/>
    <mergeCell ref="A2:G2"/>
    <mergeCell ref="A3:G3"/>
    <mergeCell ref="A6:A7"/>
    <mergeCell ref="B6:D6"/>
    <mergeCell ref="E6:G6"/>
    <mergeCell ref="B7:D7"/>
    <mergeCell ref="E7:G7"/>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25"/>
  <sheetViews>
    <sheetView showGridLines="0" view="pageBreakPreview" zoomScale="70" zoomScaleNormal="80" zoomScaleSheetLayoutView="70" zoomScalePageLayoutView="0" workbookViewId="0" topLeftCell="B1">
      <selection activeCell="AG1" sqref="S1:AG16384"/>
    </sheetView>
  </sheetViews>
  <sheetFormatPr defaultColWidth="9.00390625" defaultRowHeight="16.5"/>
  <cols>
    <col min="1" max="1" width="10.625" style="158" customWidth="1"/>
    <col min="2" max="7" width="12.75390625" style="11" customWidth="1"/>
    <col min="8" max="15" width="11.00390625" style="11" customWidth="1"/>
    <col min="16" max="16384" width="9.00390625" style="11" customWidth="1"/>
  </cols>
  <sheetData>
    <row r="1" spans="1:15" s="158" customFormat="1" ht="18" customHeight="1">
      <c r="A1" s="157" t="s">
        <v>1134</v>
      </c>
      <c r="H1" s="174"/>
      <c r="I1" s="174"/>
      <c r="J1" s="174"/>
      <c r="K1" s="174"/>
      <c r="O1" s="159" t="s">
        <v>0</v>
      </c>
    </row>
    <row r="2" spans="1:15" s="158" customFormat="1" ht="24.75" customHeight="1">
      <c r="A2" s="686" t="s">
        <v>1135</v>
      </c>
      <c r="B2" s="686"/>
      <c r="C2" s="686"/>
      <c r="D2" s="686"/>
      <c r="E2" s="686"/>
      <c r="F2" s="686"/>
      <c r="G2" s="686"/>
      <c r="H2" s="716" t="s">
        <v>286</v>
      </c>
      <c r="I2" s="686"/>
      <c r="J2" s="686"/>
      <c r="K2" s="686"/>
      <c r="L2" s="686"/>
      <c r="M2" s="686"/>
      <c r="N2" s="686"/>
      <c r="O2" s="686"/>
    </row>
    <row r="3" spans="1:15" s="158" customFormat="1" ht="18" customHeight="1" thickBot="1">
      <c r="A3" s="179"/>
      <c r="B3" s="159"/>
      <c r="C3" s="159"/>
      <c r="D3" s="159"/>
      <c r="E3" s="159"/>
      <c r="G3" s="159" t="s">
        <v>1099</v>
      </c>
      <c r="H3" s="179"/>
      <c r="I3" s="179"/>
      <c r="J3" s="179"/>
      <c r="K3" s="179"/>
      <c r="O3" s="159" t="s">
        <v>277</v>
      </c>
    </row>
    <row r="4" spans="1:15" s="158" customFormat="1" ht="19.5" customHeight="1">
      <c r="A4" s="770" t="s">
        <v>483</v>
      </c>
      <c r="B4" s="719" t="s">
        <v>644</v>
      </c>
      <c r="C4" s="720"/>
      <c r="D4" s="720"/>
      <c r="E4" s="720"/>
      <c r="F4" s="720"/>
      <c r="G4" s="736"/>
      <c r="H4" s="719" t="s">
        <v>933</v>
      </c>
      <c r="I4" s="720"/>
      <c r="J4" s="720"/>
      <c r="K4" s="720"/>
      <c r="L4" s="720" t="s">
        <v>645</v>
      </c>
      <c r="M4" s="720"/>
      <c r="N4" s="720"/>
      <c r="O4" s="736"/>
    </row>
    <row r="5" spans="1:15" s="158" customFormat="1" ht="19.5" customHeight="1">
      <c r="A5" s="754"/>
      <c r="B5" s="740" t="s">
        <v>646</v>
      </c>
      <c r="C5" s="682"/>
      <c r="D5" s="682"/>
      <c r="E5" s="682" t="s">
        <v>647</v>
      </c>
      <c r="F5" s="682"/>
      <c r="G5" s="682"/>
      <c r="H5" s="740" t="s">
        <v>648</v>
      </c>
      <c r="I5" s="682"/>
      <c r="J5" s="682"/>
      <c r="K5" s="682"/>
      <c r="L5" s="726"/>
      <c r="M5" s="726"/>
      <c r="N5" s="726"/>
      <c r="O5" s="737"/>
    </row>
    <row r="6" spans="1:15" s="158" customFormat="1" ht="19.5" customHeight="1">
      <c r="A6" s="754" t="s">
        <v>216</v>
      </c>
      <c r="B6" s="679" t="s">
        <v>283</v>
      </c>
      <c r="C6" s="744"/>
      <c r="D6" s="744"/>
      <c r="E6" s="744" t="s">
        <v>287</v>
      </c>
      <c r="F6" s="744"/>
      <c r="G6" s="744"/>
      <c r="H6" s="679" t="s">
        <v>288</v>
      </c>
      <c r="I6" s="744"/>
      <c r="J6" s="744"/>
      <c r="K6" s="744"/>
      <c r="L6" s="724" t="s">
        <v>289</v>
      </c>
      <c r="M6" s="724"/>
      <c r="N6" s="724"/>
      <c r="O6" s="680"/>
    </row>
    <row r="7" spans="1:15" s="158" customFormat="1" ht="19.5" customHeight="1">
      <c r="A7" s="754"/>
      <c r="B7" s="782" t="s">
        <v>649</v>
      </c>
      <c r="C7" s="776"/>
      <c r="D7" s="274" t="s">
        <v>656</v>
      </c>
      <c r="E7" s="782" t="s">
        <v>649</v>
      </c>
      <c r="F7" s="776"/>
      <c r="G7" s="274" t="s">
        <v>656</v>
      </c>
      <c r="H7" s="735" t="s">
        <v>649</v>
      </c>
      <c r="I7" s="726"/>
      <c r="J7" s="726" t="s">
        <v>650</v>
      </c>
      <c r="K7" s="726"/>
      <c r="L7" s="682" t="s">
        <v>649</v>
      </c>
      <c r="M7" s="682"/>
      <c r="N7" s="682" t="s">
        <v>650</v>
      </c>
      <c r="O7" s="739"/>
    </row>
    <row r="8" spans="1:15" s="158" customFormat="1" ht="19.5" customHeight="1" thickBot="1">
      <c r="A8" s="768"/>
      <c r="B8" s="785" t="s">
        <v>279</v>
      </c>
      <c r="C8" s="784"/>
      <c r="D8" s="277" t="s">
        <v>280</v>
      </c>
      <c r="E8" s="785" t="s">
        <v>279</v>
      </c>
      <c r="F8" s="784"/>
      <c r="G8" s="277" t="s">
        <v>280</v>
      </c>
      <c r="H8" s="793" t="s">
        <v>279</v>
      </c>
      <c r="I8" s="732"/>
      <c r="J8" s="732" t="s">
        <v>261</v>
      </c>
      <c r="K8" s="732"/>
      <c r="L8" s="732" t="s">
        <v>279</v>
      </c>
      <c r="M8" s="732"/>
      <c r="N8" s="732" t="s">
        <v>261</v>
      </c>
      <c r="O8" s="794"/>
    </row>
    <row r="9" spans="1:15" ht="45" customHeight="1" thickBot="1">
      <c r="A9" s="269" t="s">
        <v>532</v>
      </c>
      <c r="B9" s="85"/>
      <c r="C9" s="31">
        <v>949</v>
      </c>
      <c r="D9" s="85">
        <v>7955455</v>
      </c>
      <c r="E9" s="85"/>
      <c r="F9" s="86">
        <v>1964</v>
      </c>
      <c r="G9" s="85">
        <v>14273900</v>
      </c>
      <c r="H9" s="49"/>
      <c r="I9" s="87" t="s">
        <v>42</v>
      </c>
      <c r="J9" s="49"/>
      <c r="K9" s="87" t="s">
        <v>42</v>
      </c>
      <c r="L9" s="85"/>
      <c r="M9" s="85">
        <v>44</v>
      </c>
      <c r="N9" s="49"/>
      <c r="O9" s="85">
        <v>367000</v>
      </c>
    </row>
    <row r="10" spans="1:13" ht="19.5" customHeight="1" thickBot="1">
      <c r="A10" s="179"/>
      <c r="B10" s="12"/>
      <c r="C10" s="12"/>
      <c r="D10" s="12"/>
      <c r="E10" s="12"/>
      <c r="H10" s="14"/>
      <c r="I10" s="14"/>
      <c r="J10" s="14"/>
      <c r="K10" s="14"/>
      <c r="M10" s="12"/>
    </row>
    <row r="11" spans="1:15" s="158" customFormat="1" ht="19.5" customHeight="1">
      <c r="A11" s="770" t="s">
        <v>483</v>
      </c>
      <c r="B11" s="762" t="s">
        <v>1325</v>
      </c>
      <c r="C11" s="762"/>
      <c r="D11" s="762"/>
      <c r="E11" s="762"/>
      <c r="F11" s="762"/>
      <c r="G11" s="762"/>
      <c r="H11" s="762" t="s">
        <v>1274</v>
      </c>
      <c r="I11" s="762"/>
      <c r="J11" s="762"/>
      <c r="K11" s="763"/>
      <c r="L11" s="709" t="s">
        <v>1326</v>
      </c>
      <c r="M11" s="718"/>
      <c r="N11" s="795" t="s">
        <v>1327</v>
      </c>
      <c r="O11" s="718"/>
    </row>
    <row r="12" spans="1:15" s="158" customFormat="1" ht="31.5" customHeight="1">
      <c r="A12" s="754"/>
      <c r="B12" s="697" t="s">
        <v>651</v>
      </c>
      <c r="C12" s="740"/>
      <c r="D12" s="697" t="s">
        <v>1328</v>
      </c>
      <c r="E12" s="740"/>
      <c r="F12" s="739" t="s">
        <v>652</v>
      </c>
      <c r="G12" s="740"/>
      <c r="H12" s="734" t="s">
        <v>653</v>
      </c>
      <c r="I12" s="735"/>
      <c r="J12" s="737" t="s">
        <v>654</v>
      </c>
      <c r="K12" s="735"/>
      <c r="L12" s="737"/>
      <c r="M12" s="734"/>
      <c r="N12" s="796"/>
      <c r="O12" s="734"/>
    </row>
    <row r="13" spans="1:15" s="179" customFormat="1" ht="37.5" customHeight="1">
      <c r="A13" s="754" t="s">
        <v>216</v>
      </c>
      <c r="B13" s="685" t="s">
        <v>290</v>
      </c>
      <c r="C13" s="679"/>
      <c r="D13" s="685" t="s">
        <v>291</v>
      </c>
      <c r="E13" s="679"/>
      <c r="F13" s="677" t="s">
        <v>292</v>
      </c>
      <c r="G13" s="679"/>
      <c r="H13" s="685" t="s">
        <v>446</v>
      </c>
      <c r="I13" s="679"/>
      <c r="J13" s="677" t="s">
        <v>293</v>
      </c>
      <c r="K13" s="679"/>
      <c r="L13" s="701" t="s">
        <v>1275</v>
      </c>
      <c r="M13" s="797"/>
      <c r="N13" s="798" t="s">
        <v>1270</v>
      </c>
      <c r="O13" s="797"/>
    </row>
    <row r="14" spans="1:15" s="158" customFormat="1" ht="19.5" customHeight="1">
      <c r="A14" s="754"/>
      <c r="B14" s="270" t="s">
        <v>655</v>
      </c>
      <c r="C14" s="276" t="s">
        <v>656</v>
      </c>
      <c r="D14" s="271" t="s">
        <v>655</v>
      </c>
      <c r="E14" s="276" t="s">
        <v>656</v>
      </c>
      <c r="F14" s="271" t="s">
        <v>655</v>
      </c>
      <c r="G14" s="271" t="s">
        <v>656</v>
      </c>
      <c r="H14" s="270" t="s">
        <v>655</v>
      </c>
      <c r="I14" s="276" t="s">
        <v>656</v>
      </c>
      <c r="J14" s="271" t="s">
        <v>655</v>
      </c>
      <c r="K14" s="276" t="s">
        <v>656</v>
      </c>
      <c r="L14" s="271" t="s">
        <v>655</v>
      </c>
      <c r="M14" s="276" t="s">
        <v>656</v>
      </c>
      <c r="N14" s="525" t="s">
        <v>1329</v>
      </c>
      <c r="O14" s="276" t="s">
        <v>656</v>
      </c>
    </row>
    <row r="15" spans="1:15" s="179" customFormat="1" ht="28.5" customHeight="1" thickBot="1">
      <c r="A15" s="768"/>
      <c r="B15" s="254" t="s">
        <v>284</v>
      </c>
      <c r="C15" s="279" t="s">
        <v>280</v>
      </c>
      <c r="D15" s="244" t="s">
        <v>284</v>
      </c>
      <c r="E15" s="279" t="s">
        <v>280</v>
      </c>
      <c r="F15" s="244" t="s">
        <v>284</v>
      </c>
      <c r="G15" s="278" t="s">
        <v>280</v>
      </c>
      <c r="H15" s="254" t="s">
        <v>284</v>
      </c>
      <c r="I15" s="279" t="s">
        <v>280</v>
      </c>
      <c r="J15" s="244" t="s">
        <v>284</v>
      </c>
      <c r="K15" s="279" t="s">
        <v>280</v>
      </c>
      <c r="L15" s="244" t="s">
        <v>380</v>
      </c>
      <c r="M15" s="279" t="s">
        <v>280</v>
      </c>
      <c r="N15" s="520" t="s">
        <v>1271</v>
      </c>
      <c r="O15" s="279" t="s">
        <v>280</v>
      </c>
    </row>
    <row r="16" spans="1:15" s="90" customFormat="1" ht="45" customHeight="1">
      <c r="A16" s="268" t="s">
        <v>657</v>
      </c>
      <c r="B16" s="84">
        <v>605</v>
      </c>
      <c r="C16" s="84">
        <v>4149500</v>
      </c>
      <c r="D16" s="84">
        <v>184</v>
      </c>
      <c r="E16" s="84">
        <v>1372000</v>
      </c>
      <c r="F16" s="84">
        <v>48</v>
      </c>
      <c r="G16" s="84">
        <v>395000</v>
      </c>
      <c r="H16" s="84">
        <v>147</v>
      </c>
      <c r="I16" s="84">
        <v>47658</v>
      </c>
      <c r="J16" s="39" t="s">
        <v>59</v>
      </c>
      <c r="K16" s="39" t="s">
        <v>59</v>
      </c>
      <c r="L16" s="83">
        <v>229</v>
      </c>
      <c r="M16" s="88">
        <v>1373000</v>
      </c>
      <c r="N16" s="89" t="s">
        <v>59</v>
      </c>
      <c r="O16" s="39" t="s">
        <v>59</v>
      </c>
    </row>
    <row r="17" spans="1:15" s="90" customFormat="1" ht="45" customHeight="1">
      <c r="A17" s="268" t="s">
        <v>658</v>
      </c>
      <c r="B17" s="84">
        <v>726</v>
      </c>
      <c r="C17" s="84">
        <v>4237200</v>
      </c>
      <c r="D17" s="39" t="s">
        <v>59</v>
      </c>
      <c r="E17" s="39" t="s">
        <v>59</v>
      </c>
      <c r="F17" s="84">
        <v>254</v>
      </c>
      <c r="G17" s="84">
        <v>1554000</v>
      </c>
      <c r="H17" s="84">
        <v>108</v>
      </c>
      <c r="I17" s="84">
        <v>32854</v>
      </c>
      <c r="J17" s="39" t="s">
        <v>59</v>
      </c>
      <c r="K17" s="39" t="s">
        <v>59</v>
      </c>
      <c r="L17" s="83">
        <v>271</v>
      </c>
      <c r="M17" s="83">
        <v>1518500</v>
      </c>
      <c r="N17" s="39" t="s">
        <v>59</v>
      </c>
      <c r="O17" s="39" t="s">
        <v>59</v>
      </c>
    </row>
    <row r="18" spans="1:15" s="90" customFormat="1" ht="45" customHeight="1">
      <c r="A18" s="268" t="s">
        <v>534</v>
      </c>
      <c r="B18" s="84">
        <v>336</v>
      </c>
      <c r="C18" s="84">
        <v>1515000</v>
      </c>
      <c r="D18" s="84">
        <v>1</v>
      </c>
      <c r="E18" s="84">
        <v>3000</v>
      </c>
      <c r="F18" s="84">
        <v>287</v>
      </c>
      <c r="G18" s="84">
        <v>1560000</v>
      </c>
      <c r="H18" s="84">
        <v>175</v>
      </c>
      <c r="I18" s="84">
        <v>50442</v>
      </c>
      <c r="J18" s="39" t="s">
        <v>59</v>
      </c>
      <c r="K18" s="39" t="s">
        <v>59</v>
      </c>
      <c r="L18" s="83">
        <v>348</v>
      </c>
      <c r="M18" s="83">
        <v>2273000</v>
      </c>
      <c r="N18" s="39" t="s">
        <v>59</v>
      </c>
      <c r="O18" s="39" t="s">
        <v>59</v>
      </c>
    </row>
    <row r="19" spans="1:15" s="90" customFormat="1" ht="45" customHeight="1">
      <c r="A19" s="268" t="s">
        <v>535</v>
      </c>
      <c r="B19" s="84">
        <v>382</v>
      </c>
      <c r="C19" s="84">
        <v>2126000</v>
      </c>
      <c r="D19" s="84">
        <v>16</v>
      </c>
      <c r="E19" s="84">
        <v>82000</v>
      </c>
      <c r="F19" s="84">
        <v>415</v>
      </c>
      <c r="G19" s="84">
        <v>3323795</v>
      </c>
      <c r="H19" s="84">
        <v>176</v>
      </c>
      <c r="I19" s="84">
        <v>41203</v>
      </c>
      <c r="J19" s="39" t="s">
        <v>59</v>
      </c>
      <c r="K19" s="39" t="s">
        <v>59</v>
      </c>
      <c r="L19" s="83">
        <v>330</v>
      </c>
      <c r="M19" s="83">
        <v>2518000</v>
      </c>
      <c r="N19" s="39" t="s">
        <v>59</v>
      </c>
      <c r="O19" s="39" t="s">
        <v>59</v>
      </c>
    </row>
    <row r="20" spans="1:15" s="90" customFormat="1" ht="45" customHeight="1">
      <c r="A20" s="268" t="s">
        <v>536</v>
      </c>
      <c r="B20" s="84">
        <v>262</v>
      </c>
      <c r="C20" s="84">
        <v>1721000</v>
      </c>
      <c r="D20" s="84">
        <v>1</v>
      </c>
      <c r="E20" s="84">
        <v>5000</v>
      </c>
      <c r="F20" s="84">
        <v>375</v>
      </c>
      <c r="G20" s="84">
        <v>2827860</v>
      </c>
      <c r="H20" s="84">
        <v>144</v>
      </c>
      <c r="I20" s="84">
        <v>38116</v>
      </c>
      <c r="J20" s="39" t="s">
        <v>59</v>
      </c>
      <c r="K20" s="39" t="s">
        <v>59</v>
      </c>
      <c r="L20" s="83">
        <v>293</v>
      </c>
      <c r="M20" s="83">
        <v>2227500</v>
      </c>
      <c r="N20" s="39" t="s">
        <v>59</v>
      </c>
      <c r="O20" s="39" t="s">
        <v>59</v>
      </c>
    </row>
    <row r="21" spans="1:18" s="90" customFormat="1" ht="45" customHeight="1">
      <c r="A21" s="268" t="s">
        <v>537</v>
      </c>
      <c r="B21" s="91">
        <v>138</v>
      </c>
      <c r="C21" s="91">
        <v>773000</v>
      </c>
      <c r="D21" s="91">
        <v>4</v>
      </c>
      <c r="E21" s="91">
        <v>26000</v>
      </c>
      <c r="F21" s="91">
        <v>452</v>
      </c>
      <c r="G21" s="91">
        <v>3045750</v>
      </c>
      <c r="H21" s="91">
        <v>138</v>
      </c>
      <c r="I21" s="91">
        <v>35770</v>
      </c>
      <c r="J21" s="41" t="s">
        <v>59</v>
      </c>
      <c r="K21" s="41" t="s">
        <v>59</v>
      </c>
      <c r="L21" s="92">
        <v>278</v>
      </c>
      <c r="M21" s="92">
        <v>2050000</v>
      </c>
      <c r="N21" s="41">
        <v>435</v>
      </c>
      <c r="O21" s="41">
        <v>3204001</v>
      </c>
      <c r="P21" s="93"/>
      <c r="Q21" s="93"/>
      <c r="R21" s="93"/>
    </row>
    <row r="22" spans="1:15" ht="45" customHeight="1">
      <c r="A22" s="163" t="s">
        <v>538</v>
      </c>
      <c r="B22" s="98">
        <v>275</v>
      </c>
      <c r="C22" s="91">
        <v>1756000</v>
      </c>
      <c r="D22" s="91">
        <v>6</v>
      </c>
      <c r="E22" s="91">
        <v>49000</v>
      </c>
      <c r="F22" s="91">
        <v>174</v>
      </c>
      <c r="G22" s="91">
        <v>1312000</v>
      </c>
      <c r="H22" s="91">
        <v>91</v>
      </c>
      <c r="I22" s="91">
        <v>23819</v>
      </c>
      <c r="J22" s="41" t="s">
        <v>59</v>
      </c>
      <c r="K22" s="41" t="s">
        <v>59</v>
      </c>
      <c r="L22" s="92">
        <v>249</v>
      </c>
      <c r="M22" s="92">
        <v>1793000</v>
      </c>
      <c r="N22" s="41">
        <v>528</v>
      </c>
      <c r="O22" s="41">
        <v>4258800</v>
      </c>
    </row>
    <row r="23" spans="1:15" ht="45" customHeight="1">
      <c r="A23" s="268" t="s">
        <v>934</v>
      </c>
      <c r="B23" s="83">
        <v>289</v>
      </c>
      <c r="C23" s="91">
        <v>2165000</v>
      </c>
      <c r="D23" s="83">
        <v>7</v>
      </c>
      <c r="E23" s="83">
        <v>49000</v>
      </c>
      <c r="F23" s="414">
        <v>174</v>
      </c>
      <c r="G23" s="83">
        <v>1707030</v>
      </c>
      <c r="H23" s="414">
        <v>150</v>
      </c>
      <c r="I23" s="39">
        <v>40078</v>
      </c>
      <c r="J23" s="41" t="s">
        <v>59</v>
      </c>
      <c r="K23" s="41" t="s">
        <v>59</v>
      </c>
      <c r="L23" s="83">
        <v>144</v>
      </c>
      <c r="M23" s="83">
        <v>1307000</v>
      </c>
      <c r="N23" s="41">
        <v>637</v>
      </c>
      <c r="O23" s="41">
        <v>4903200</v>
      </c>
    </row>
    <row r="24" spans="1:15" ht="45" customHeight="1" thickBot="1">
      <c r="A24" s="269" t="s">
        <v>1205</v>
      </c>
      <c r="B24" s="96">
        <v>285</v>
      </c>
      <c r="C24" s="96">
        <v>2516000</v>
      </c>
      <c r="D24" s="96">
        <v>5</v>
      </c>
      <c r="E24" s="94">
        <v>43000</v>
      </c>
      <c r="F24" s="494">
        <v>133</v>
      </c>
      <c r="G24" s="94">
        <v>1758500</v>
      </c>
      <c r="H24" s="95">
        <v>160</v>
      </c>
      <c r="I24" s="95">
        <v>43753</v>
      </c>
      <c r="J24" s="95" t="s">
        <v>59</v>
      </c>
      <c r="K24" s="95" t="s">
        <v>59</v>
      </c>
      <c r="L24" s="87">
        <v>108</v>
      </c>
      <c r="M24" s="87">
        <v>851000</v>
      </c>
      <c r="N24" s="95">
        <v>655</v>
      </c>
      <c r="O24" s="95">
        <v>5653000</v>
      </c>
    </row>
    <row r="25" ht="12.75">
      <c r="A25" s="178"/>
    </row>
  </sheetData>
  <sheetProtection/>
  <mergeCells count="44">
    <mergeCell ref="L13:M13"/>
    <mergeCell ref="N13:O13"/>
    <mergeCell ref="A13:A15"/>
    <mergeCell ref="B13:C13"/>
    <mergeCell ref="D13:E13"/>
    <mergeCell ref="F13:G13"/>
    <mergeCell ref="H13:I13"/>
    <mergeCell ref="J13:K13"/>
    <mergeCell ref="A11:A12"/>
    <mergeCell ref="B11:G11"/>
    <mergeCell ref="H11:K11"/>
    <mergeCell ref="L11:M12"/>
    <mergeCell ref="N11:O12"/>
    <mergeCell ref="B12:C12"/>
    <mergeCell ref="D12:E12"/>
    <mergeCell ref="F12:G12"/>
    <mergeCell ref="H12:I12"/>
    <mergeCell ref="J12:K12"/>
    <mergeCell ref="N7:O7"/>
    <mergeCell ref="B8:C8"/>
    <mergeCell ref="E8:F8"/>
    <mergeCell ref="H8:I8"/>
    <mergeCell ref="J8:K8"/>
    <mergeCell ref="L8:M8"/>
    <mergeCell ref="N8:O8"/>
    <mergeCell ref="A6:A8"/>
    <mergeCell ref="B6:D6"/>
    <mergeCell ref="E6:G6"/>
    <mergeCell ref="H6:K6"/>
    <mergeCell ref="L6:O6"/>
    <mergeCell ref="B7:C7"/>
    <mergeCell ref="E7:F7"/>
    <mergeCell ref="H7:I7"/>
    <mergeCell ref="J7:K7"/>
    <mergeCell ref="L7:M7"/>
    <mergeCell ref="A2:G2"/>
    <mergeCell ref="H2:O2"/>
    <mergeCell ref="A4:A5"/>
    <mergeCell ref="B4:G4"/>
    <mergeCell ref="H4:K4"/>
    <mergeCell ref="L4:O5"/>
    <mergeCell ref="B5:D5"/>
    <mergeCell ref="E5:G5"/>
    <mergeCell ref="H5:K5"/>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M19"/>
  <sheetViews>
    <sheetView showGridLines="0" view="pageBreakPreview" zoomScale="55" zoomScaleNormal="120" zoomScaleSheetLayoutView="55"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6.5"/>
  <cols>
    <col min="1" max="1" width="14.125" style="218" customWidth="1"/>
    <col min="2" max="3" width="14.125" style="44" customWidth="1"/>
    <col min="4" max="4" width="16.125" style="44" customWidth="1"/>
    <col min="5" max="6" width="14.125" style="44" customWidth="1"/>
    <col min="7" max="13" width="12.50390625" style="44" customWidth="1"/>
    <col min="14" max="16384" width="9.00390625" style="44" customWidth="1"/>
  </cols>
  <sheetData>
    <row r="1" spans="1:13" s="218" customFormat="1" ht="18" customHeight="1">
      <c r="A1" s="210" t="s">
        <v>1077</v>
      </c>
      <c r="B1" s="257"/>
      <c r="M1" s="159" t="s">
        <v>0</v>
      </c>
    </row>
    <row r="2" spans="1:13" s="218" customFormat="1" ht="24.75" customHeight="1">
      <c r="A2" s="658" t="s">
        <v>1132</v>
      </c>
      <c r="B2" s="658"/>
      <c r="C2" s="658"/>
      <c r="D2" s="658"/>
      <c r="E2" s="658"/>
      <c r="F2" s="658"/>
      <c r="G2" s="658" t="s">
        <v>294</v>
      </c>
      <c r="H2" s="658"/>
      <c r="I2" s="658"/>
      <c r="J2" s="658"/>
      <c r="K2" s="658"/>
      <c r="L2" s="658"/>
      <c r="M2" s="658"/>
    </row>
    <row r="3" spans="1:13" s="218" customFormat="1" ht="15" customHeight="1" thickBot="1">
      <c r="A3" s="253"/>
      <c r="B3" s="253"/>
      <c r="C3" s="253"/>
      <c r="D3" s="253"/>
      <c r="E3" s="253"/>
      <c r="F3" s="257"/>
      <c r="G3" s="257"/>
      <c r="M3" s="258"/>
    </row>
    <row r="4" spans="1:13" s="218" customFormat="1" ht="24.75" customHeight="1">
      <c r="A4" s="799" t="s">
        <v>629</v>
      </c>
      <c r="B4" s="672" t="s">
        <v>630</v>
      </c>
      <c r="C4" s="676" t="s">
        <v>631</v>
      </c>
      <c r="D4" s="673"/>
      <c r="E4" s="801" t="s">
        <v>632</v>
      </c>
      <c r="F4" s="802"/>
      <c r="G4" s="802" t="s">
        <v>295</v>
      </c>
      <c r="H4" s="802"/>
      <c r="I4" s="803"/>
      <c r="J4" s="804" t="s">
        <v>633</v>
      </c>
      <c r="K4" s="805"/>
      <c r="L4" s="713" t="s">
        <v>634</v>
      </c>
      <c r="M4" s="804" t="s">
        <v>635</v>
      </c>
    </row>
    <row r="5" spans="1:13" s="218" customFormat="1" ht="31.5" customHeight="1">
      <c r="A5" s="626"/>
      <c r="B5" s="800"/>
      <c r="C5" s="183" t="s">
        <v>636</v>
      </c>
      <c r="D5" s="183" t="s">
        <v>637</v>
      </c>
      <c r="E5" s="183" t="s">
        <v>494</v>
      </c>
      <c r="F5" s="259" t="s">
        <v>638</v>
      </c>
      <c r="G5" s="260" t="s">
        <v>639</v>
      </c>
      <c r="H5" s="260" t="s">
        <v>640</v>
      </c>
      <c r="I5" s="259" t="s">
        <v>571</v>
      </c>
      <c r="J5" s="261" t="s">
        <v>641</v>
      </c>
      <c r="K5" s="261" t="s">
        <v>642</v>
      </c>
      <c r="L5" s="806"/>
      <c r="M5" s="624"/>
    </row>
    <row r="6" spans="1:13" s="218" customFormat="1" ht="45" customHeight="1" thickBot="1">
      <c r="A6" s="255" t="s">
        <v>296</v>
      </c>
      <c r="B6" s="262" t="s">
        <v>297</v>
      </c>
      <c r="C6" s="252" t="s">
        <v>298</v>
      </c>
      <c r="D6" s="252" t="s">
        <v>299</v>
      </c>
      <c r="E6" s="252" t="s">
        <v>6</v>
      </c>
      <c r="F6" s="252" t="s">
        <v>300</v>
      </c>
      <c r="G6" s="263" t="s">
        <v>301</v>
      </c>
      <c r="H6" s="263" t="s">
        <v>302</v>
      </c>
      <c r="I6" s="252" t="s">
        <v>41</v>
      </c>
      <c r="J6" s="252" t="s">
        <v>303</v>
      </c>
      <c r="K6" s="264" t="s">
        <v>304</v>
      </c>
      <c r="L6" s="264" t="s">
        <v>305</v>
      </c>
      <c r="M6" s="264" t="s">
        <v>306</v>
      </c>
    </row>
    <row r="7" spans="1:13" s="79" customFormat="1" ht="58.5" customHeight="1">
      <c r="A7" s="256" t="s">
        <v>643</v>
      </c>
      <c r="B7" s="80">
        <v>71</v>
      </c>
      <c r="C7" s="54" t="s">
        <v>92</v>
      </c>
      <c r="D7" s="81" t="s">
        <v>42</v>
      </c>
      <c r="E7" s="81">
        <f aca="true" t="shared" si="0" ref="E7:E16">SUM(F7:I7)</f>
        <v>15</v>
      </c>
      <c r="F7" s="81">
        <v>15</v>
      </c>
      <c r="G7" s="81" t="s">
        <v>42</v>
      </c>
      <c r="H7" s="81" t="s">
        <v>42</v>
      </c>
      <c r="I7" s="81" t="s">
        <v>42</v>
      </c>
      <c r="J7" s="81">
        <v>10</v>
      </c>
      <c r="K7" s="81">
        <v>43</v>
      </c>
      <c r="L7" s="81">
        <v>97</v>
      </c>
      <c r="M7" s="81">
        <v>4955</v>
      </c>
    </row>
    <row r="8" spans="1:13" ht="58.5" customHeight="1">
      <c r="A8" s="256" t="s">
        <v>606</v>
      </c>
      <c r="B8" s="80">
        <v>65</v>
      </c>
      <c r="C8" s="54" t="s">
        <v>92</v>
      </c>
      <c r="D8" s="81" t="s">
        <v>42</v>
      </c>
      <c r="E8" s="81">
        <f t="shared" si="0"/>
        <v>4</v>
      </c>
      <c r="F8" s="81">
        <v>4</v>
      </c>
      <c r="G8" s="81" t="s">
        <v>42</v>
      </c>
      <c r="H8" s="81" t="s">
        <v>42</v>
      </c>
      <c r="I8" s="81" t="s">
        <v>42</v>
      </c>
      <c r="J8" s="81">
        <v>4</v>
      </c>
      <c r="K8" s="81">
        <v>9</v>
      </c>
      <c r="L8" s="81">
        <v>66</v>
      </c>
      <c r="M8" s="81">
        <v>2325</v>
      </c>
    </row>
    <row r="9" spans="1:13" ht="58.5" customHeight="1">
      <c r="A9" s="256" t="s">
        <v>500</v>
      </c>
      <c r="B9" s="80">
        <v>54</v>
      </c>
      <c r="C9" s="54" t="s">
        <v>92</v>
      </c>
      <c r="D9" s="81" t="s">
        <v>42</v>
      </c>
      <c r="E9" s="81">
        <f t="shared" si="0"/>
        <v>2</v>
      </c>
      <c r="F9" s="81">
        <v>2</v>
      </c>
      <c r="G9" s="81" t="s">
        <v>42</v>
      </c>
      <c r="H9" s="81" t="s">
        <v>42</v>
      </c>
      <c r="I9" s="81" t="s">
        <v>42</v>
      </c>
      <c r="J9" s="81">
        <v>1</v>
      </c>
      <c r="K9" s="81">
        <v>3</v>
      </c>
      <c r="L9" s="81">
        <v>174</v>
      </c>
      <c r="M9" s="81">
        <v>2620</v>
      </c>
    </row>
    <row r="10" spans="1:13" ht="58.5" customHeight="1">
      <c r="A10" s="256" t="s">
        <v>501</v>
      </c>
      <c r="B10" s="80">
        <v>71</v>
      </c>
      <c r="C10" s="54" t="s">
        <v>92</v>
      </c>
      <c r="D10" s="81" t="s">
        <v>42</v>
      </c>
      <c r="E10" s="81">
        <f t="shared" si="0"/>
        <v>7</v>
      </c>
      <c r="F10" s="81">
        <v>7</v>
      </c>
      <c r="G10" s="81" t="s">
        <v>42</v>
      </c>
      <c r="H10" s="81" t="s">
        <v>42</v>
      </c>
      <c r="I10" s="81" t="s">
        <v>42</v>
      </c>
      <c r="J10" s="81">
        <v>3</v>
      </c>
      <c r="K10" s="81">
        <v>7</v>
      </c>
      <c r="L10" s="81">
        <v>137</v>
      </c>
      <c r="M10" s="81">
        <v>3435</v>
      </c>
    </row>
    <row r="11" spans="1:13" ht="58.5" customHeight="1">
      <c r="A11" s="256" t="s">
        <v>502</v>
      </c>
      <c r="B11" s="80">
        <v>89</v>
      </c>
      <c r="C11" s="81">
        <v>26</v>
      </c>
      <c r="D11" s="81">
        <v>404</v>
      </c>
      <c r="E11" s="81">
        <f t="shared" si="0"/>
        <v>14</v>
      </c>
      <c r="F11" s="81">
        <v>14</v>
      </c>
      <c r="G11" s="81" t="s">
        <v>42</v>
      </c>
      <c r="H11" s="81" t="s">
        <v>42</v>
      </c>
      <c r="I11" s="81" t="s">
        <v>42</v>
      </c>
      <c r="J11" s="81">
        <v>20</v>
      </c>
      <c r="K11" s="81">
        <v>63</v>
      </c>
      <c r="L11" s="81">
        <v>4367</v>
      </c>
      <c r="M11" s="81">
        <v>56094</v>
      </c>
    </row>
    <row r="12" spans="1:13" ht="58.5" customHeight="1">
      <c r="A12" s="256" t="s">
        <v>503</v>
      </c>
      <c r="B12" s="80">
        <v>47</v>
      </c>
      <c r="C12" s="81">
        <v>13</v>
      </c>
      <c r="D12" s="81">
        <v>317</v>
      </c>
      <c r="E12" s="81">
        <f t="shared" si="0"/>
        <v>2</v>
      </c>
      <c r="F12" s="81">
        <v>2</v>
      </c>
      <c r="G12" s="81" t="s">
        <v>42</v>
      </c>
      <c r="H12" s="81" t="s">
        <v>42</v>
      </c>
      <c r="I12" s="81" t="s">
        <v>42</v>
      </c>
      <c r="J12" s="81">
        <v>47</v>
      </c>
      <c r="K12" s="81">
        <v>122</v>
      </c>
      <c r="L12" s="81">
        <v>210</v>
      </c>
      <c r="M12" s="81">
        <v>4585</v>
      </c>
    </row>
    <row r="13" spans="1:13" ht="58.5" customHeight="1">
      <c r="A13" s="256" t="s">
        <v>504</v>
      </c>
      <c r="B13" s="80">
        <v>5</v>
      </c>
      <c r="C13" s="81">
        <v>1</v>
      </c>
      <c r="D13" s="81">
        <v>45</v>
      </c>
      <c r="E13" s="81">
        <f t="shared" si="0"/>
        <v>2</v>
      </c>
      <c r="F13" s="81">
        <v>2</v>
      </c>
      <c r="G13" s="81" t="s">
        <v>82</v>
      </c>
      <c r="H13" s="81" t="s">
        <v>82</v>
      </c>
      <c r="I13" s="81" t="s">
        <v>82</v>
      </c>
      <c r="J13" s="81">
        <v>4</v>
      </c>
      <c r="K13" s="81">
        <v>8</v>
      </c>
      <c r="L13" s="81" t="s">
        <v>42</v>
      </c>
      <c r="M13" s="81">
        <v>560</v>
      </c>
    </row>
    <row r="14" spans="1:13" ht="58.5" customHeight="1">
      <c r="A14" s="256" t="s">
        <v>538</v>
      </c>
      <c r="B14" s="80">
        <v>23</v>
      </c>
      <c r="C14" s="54" t="s">
        <v>82</v>
      </c>
      <c r="D14" s="81" t="s">
        <v>82</v>
      </c>
      <c r="E14" s="81">
        <f t="shared" si="0"/>
        <v>13</v>
      </c>
      <c r="F14" s="81">
        <v>13</v>
      </c>
      <c r="G14" s="81" t="s">
        <v>82</v>
      </c>
      <c r="H14" s="81" t="s">
        <v>82</v>
      </c>
      <c r="I14" s="81" t="s">
        <v>82</v>
      </c>
      <c r="J14" s="81">
        <v>37</v>
      </c>
      <c r="K14" s="81">
        <v>133</v>
      </c>
      <c r="L14" s="81">
        <v>8</v>
      </c>
      <c r="M14" s="81">
        <v>5420</v>
      </c>
    </row>
    <row r="15" spans="1:13" ht="58.5" customHeight="1">
      <c r="A15" s="256" t="s">
        <v>935</v>
      </c>
      <c r="B15" s="80">
        <v>22</v>
      </c>
      <c r="C15" s="54" t="s">
        <v>82</v>
      </c>
      <c r="D15" s="81" t="s">
        <v>82</v>
      </c>
      <c r="E15" s="81">
        <f t="shared" si="0"/>
        <v>9</v>
      </c>
      <c r="F15" s="81">
        <v>9</v>
      </c>
      <c r="G15" s="81" t="s">
        <v>82</v>
      </c>
      <c r="H15" s="81" t="s">
        <v>82</v>
      </c>
      <c r="I15" s="81" t="s">
        <v>82</v>
      </c>
      <c r="J15" s="81">
        <v>18</v>
      </c>
      <c r="K15" s="81">
        <v>55</v>
      </c>
      <c r="L15" s="81">
        <v>23</v>
      </c>
      <c r="M15" s="81">
        <v>3140</v>
      </c>
    </row>
    <row r="16" spans="1:13" s="79" customFormat="1" ht="58.5" customHeight="1" thickBot="1">
      <c r="A16" s="412" t="s">
        <v>1206</v>
      </c>
      <c r="B16" s="99">
        <v>28</v>
      </c>
      <c r="C16" s="63" t="s">
        <v>42</v>
      </c>
      <c r="D16" s="82" t="s">
        <v>42</v>
      </c>
      <c r="E16" s="82">
        <f t="shared" si="0"/>
        <v>6</v>
      </c>
      <c r="F16" s="82">
        <v>6</v>
      </c>
      <c r="G16" s="82" t="s">
        <v>82</v>
      </c>
      <c r="H16" s="82" t="s">
        <v>82</v>
      </c>
      <c r="I16" s="82" t="s">
        <v>82</v>
      </c>
      <c r="J16" s="82">
        <v>25</v>
      </c>
      <c r="K16" s="82">
        <v>68</v>
      </c>
      <c r="L16" s="82" t="s">
        <v>82</v>
      </c>
      <c r="M16" s="82">
        <v>2560</v>
      </c>
    </row>
    <row r="17" spans="1:13" s="218" customFormat="1" ht="15" customHeight="1">
      <c r="A17" s="247" t="s">
        <v>1080</v>
      </c>
      <c r="B17" s="247"/>
      <c r="C17" s="247"/>
      <c r="D17" s="247"/>
      <c r="E17" s="247"/>
      <c r="F17" s="247"/>
      <c r="G17" s="247" t="s">
        <v>126</v>
      </c>
      <c r="H17" s="247"/>
      <c r="I17" s="247"/>
      <c r="J17" s="247"/>
      <c r="K17" s="247"/>
      <c r="L17" s="247"/>
      <c r="M17" s="247"/>
    </row>
    <row r="18" spans="1:13" s="253" customFormat="1" ht="15" customHeight="1">
      <c r="A18" s="807" t="s">
        <v>1133</v>
      </c>
      <c r="B18" s="807"/>
      <c r="C18" s="807"/>
      <c r="D18" s="807"/>
      <c r="E18" s="807"/>
      <c r="F18" s="807"/>
      <c r="G18" s="247" t="s">
        <v>307</v>
      </c>
      <c r="H18" s="265"/>
      <c r="I18" s="265"/>
      <c r="J18" s="265"/>
      <c r="K18" s="265"/>
      <c r="L18" s="265"/>
      <c r="M18" s="265"/>
    </row>
    <row r="19" spans="1:7" s="218" customFormat="1" ht="15" customHeight="1">
      <c r="A19" s="807"/>
      <c r="B19" s="807"/>
      <c r="C19" s="807"/>
      <c r="D19" s="807"/>
      <c r="E19" s="807"/>
      <c r="F19" s="807"/>
      <c r="G19" s="247"/>
    </row>
    <row r="20" s="218" customFormat="1" ht="12.75"/>
    <row r="21" s="218" customFormat="1" ht="12.75"/>
    <row r="22" s="218" customFormat="1" ht="12.75"/>
    <row r="23" s="218" customFormat="1" ht="12.75"/>
    <row r="24" s="218" customFormat="1" ht="12.75"/>
    <row r="25" s="218" customFormat="1" ht="12.75"/>
    <row r="26" s="218" customFormat="1" ht="12.75"/>
    <row r="27" s="218" customFormat="1" ht="12.75"/>
    <row r="28" s="218" customFormat="1" ht="12.75"/>
    <row r="29" s="218" customFormat="1" ht="12.75"/>
    <row r="30" s="218" customFormat="1" ht="12.75"/>
    <row r="31" s="218" customFormat="1" ht="12.75"/>
    <row r="32" s="218" customFormat="1" ht="12.75"/>
    <row r="33" s="218" customFormat="1" ht="12.75"/>
  </sheetData>
  <sheetProtection/>
  <mergeCells count="12">
    <mergeCell ref="A18:F18"/>
    <mergeCell ref="A19:F19"/>
    <mergeCell ref="A2:F2"/>
    <mergeCell ref="G2:M2"/>
    <mergeCell ref="A4:A5"/>
    <mergeCell ref="B4:B5"/>
    <mergeCell ref="C4:D4"/>
    <mergeCell ref="E4:F4"/>
    <mergeCell ref="G4:I4"/>
    <mergeCell ref="J4:K4"/>
    <mergeCell ref="L4:L5"/>
    <mergeCell ref="M4:M5"/>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43"/>
  <sheetViews>
    <sheetView showGridLines="0" view="pageBreakPreview" zoomScale="55" zoomScaleNormal="120" zoomScaleSheetLayoutView="5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3" sqref="A3:E3"/>
    </sheetView>
  </sheetViews>
  <sheetFormatPr defaultColWidth="9.00390625" defaultRowHeight="16.5"/>
  <cols>
    <col min="1" max="1" width="11.50390625" style="177" customWidth="1"/>
    <col min="2" max="2" width="10.125" style="177" customWidth="1"/>
    <col min="3" max="5" width="22.125" style="35" customWidth="1"/>
    <col min="6" max="12" width="0" style="35" hidden="1" customWidth="1"/>
    <col min="13" max="16384" width="9.00390625" style="35" customWidth="1"/>
  </cols>
  <sheetData>
    <row r="1" spans="1:5" s="177" customFormat="1" ht="18" customHeight="1">
      <c r="A1" s="157" t="s">
        <v>1077</v>
      </c>
      <c r="B1" s="354"/>
      <c r="C1" s="354"/>
      <c r="D1" s="354"/>
      <c r="E1" s="369"/>
    </row>
    <row r="2" spans="1:8" s="177" customFormat="1" ht="24.75" customHeight="1">
      <c r="A2" s="581" t="s">
        <v>1180</v>
      </c>
      <c r="B2" s="581"/>
      <c r="C2" s="581"/>
      <c r="D2" s="581"/>
      <c r="E2" s="581"/>
      <c r="F2" s="370"/>
      <c r="G2" s="370"/>
      <c r="H2" s="370"/>
    </row>
    <row r="3" spans="1:5" s="177" customFormat="1" ht="19.5" customHeight="1">
      <c r="A3" s="581" t="s">
        <v>23</v>
      </c>
      <c r="B3" s="581"/>
      <c r="C3" s="581"/>
      <c r="D3" s="581"/>
      <c r="E3" s="581"/>
    </row>
    <row r="4" spans="1:5" s="177" customFormat="1" ht="12.75" customHeight="1" thickBot="1">
      <c r="A4" s="355"/>
      <c r="B4" s="355"/>
      <c r="C4" s="355"/>
      <c r="D4" s="355"/>
      <c r="E4" s="355"/>
    </row>
    <row r="5" spans="1:5" s="373" customFormat="1" ht="18" customHeight="1">
      <c r="A5" s="582" t="s">
        <v>835</v>
      </c>
      <c r="B5" s="583"/>
      <c r="C5" s="371" t="s">
        <v>836</v>
      </c>
      <c r="D5" s="528" t="s">
        <v>1390</v>
      </c>
      <c r="E5" s="372" t="s">
        <v>837</v>
      </c>
    </row>
    <row r="6" spans="1:5" s="373" customFormat="1" ht="36" customHeight="1" thickBot="1">
      <c r="A6" s="584" t="s">
        <v>24</v>
      </c>
      <c r="B6" s="585"/>
      <c r="C6" s="374" t="s">
        <v>25</v>
      </c>
      <c r="D6" s="375" t="s">
        <v>26</v>
      </c>
      <c r="E6" s="376" t="s">
        <v>27</v>
      </c>
    </row>
    <row r="7" spans="1:11" s="119" customFormat="1" ht="21" customHeight="1">
      <c r="A7" s="356" t="s">
        <v>838</v>
      </c>
      <c r="B7" s="357" t="s">
        <v>28</v>
      </c>
      <c r="C7" s="120">
        <f>261+146</f>
        <v>407</v>
      </c>
      <c r="D7" s="120">
        <v>230</v>
      </c>
      <c r="E7" s="120">
        <f>21644+17691</f>
        <v>39335</v>
      </c>
      <c r="F7" s="119">
        <v>407</v>
      </c>
      <c r="G7" s="119">
        <f>IF(C7=F7,1)</f>
        <v>1</v>
      </c>
      <c r="H7" s="119">
        <v>21644</v>
      </c>
      <c r="I7" s="119">
        <v>17691</v>
      </c>
      <c r="J7" s="119">
        <f>H7+I7</f>
        <v>39335</v>
      </c>
      <c r="K7" s="119">
        <f>IF(J7=E7,1)</f>
        <v>1</v>
      </c>
    </row>
    <row r="8" spans="1:11" s="119" customFormat="1" ht="21" customHeight="1">
      <c r="A8" s="356" t="s">
        <v>839</v>
      </c>
      <c r="B8" s="357" t="s">
        <v>29</v>
      </c>
      <c r="C8" s="120">
        <f>267+175</f>
        <v>442</v>
      </c>
      <c r="D8" s="120">
        <v>187</v>
      </c>
      <c r="E8" s="120">
        <f>21601+15124</f>
        <v>36725</v>
      </c>
      <c r="F8" s="119">
        <v>442</v>
      </c>
      <c r="G8" s="119">
        <f aca="true" t="shared" si="0" ref="G8:G14">IF(C8=F8,1)</f>
        <v>1</v>
      </c>
      <c r="H8" s="119">
        <v>21601</v>
      </c>
      <c r="I8" s="119">
        <v>15124</v>
      </c>
      <c r="J8" s="119">
        <f aca="true" t="shared" si="1" ref="J8:J16">H8+I8</f>
        <v>36725</v>
      </c>
      <c r="K8" s="119">
        <f aca="true" t="shared" si="2" ref="K8:K16">IF(J8=E8,1)</f>
        <v>1</v>
      </c>
    </row>
    <row r="9" spans="1:11" s="119" customFormat="1" ht="21" customHeight="1">
      <c r="A9" s="356" t="s">
        <v>840</v>
      </c>
      <c r="B9" s="357" t="s">
        <v>30</v>
      </c>
      <c r="C9" s="120">
        <f>270+180</f>
        <v>450</v>
      </c>
      <c r="D9" s="120">
        <v>207</v>
      </c>
      <c r="E9" s="120">
        <f>23439+15633</f>
        <v>39072</v>
      </c>
      <c r="F9" s="119">
        <v>450</v>
      </c>
      <c r="G9" s="119">
        <f t="shared" si="0"/>
        <v>1</v>
      </c>
      <c r="H9" s="119">
        <v>23439</v>
      </c>
      <c r="I9" s="119">
        <v>15633</v>
      </c>
      <c r="J9" s="119">
        <f t="shared" si="1"/>
        <v>39072</v>
      </c>
      <c r="K9" s="119">
        <f t="shared" si="2"/>
        <v>1</v>
      </c>
    </row>
    <row r="10" spans="1:11" s="119" customFormat="1" ht="21" customHeight="1">
      <c r="A10" s="356" t="s">
        <v>841</v>
      </c>
      <c r="B10" s="357" t="s">
        <v>31</v>
      </c>
      <c r="C10" s="120">
        <v>455</v>
      </c>
      <c r="D10" s="120">
        <v>248</v>
      </c>
      <c r="E10" s="120">
        <v>39160</v>
      </c>
      <c r="F10" s="119">
        <v>455</v>
      </c>
      <c r="G10" s="119">
        <f t="shared" si="0"/>
        <v>1</v>
      </c>
      <c r="H10" s="119">
        <v>23439</v>
      </c>
      <c r="I10" s="119">
        <v>15721</v>
      </c>
      <c r="J10" s="119">
        <f t="shared" si="1"/>
        <v>39160</v>
      </c>
      <c r="K10" s="119">
        <f t="shared" si="2"/>
        <v>1</v>
      </c>
    </row>
    <row r="11" spans="1:11" s="119" customFormat="1" ht="21" customHeight="1">
      <c r="A11" s="356" t="s">
        <v>828</v>
      </c>
      <c r="B11" s="357" t="s">
        <v>32</v>
      </c>
      <c r="C11" s="120">
        <v>466</v>
      </c>
      <c r="D11" s="120">
        <v>220</v>
      </c>
      <c r="E11" s="120">
        <v>53251</v>
      </c>
      <c r="F11" s="119">
        <v>466</v>
      </c>
      <c r="G11" s="119">
        <f t="shared" si="0"/>
        <v>1</v>
      </c>
      <c r="H11" s="119">
        <v>23686</v>
      </c>
      <c r="I11" s="119">
        <v>29565</v>
      </c>
      <c r="J11" s="119">
        <f t="shared" si="1"/>
        <v>53251</v>
      </c>
      <c r="K11" s="119">
        <f t="shared" si="2"/>
        <v>1</v>
      </c>
    </row>
    <row r="12" spans="1:11" s="119" customFormat="1" ht="21" customHeight="1">
      <c r="A12" s="356" t="s">
        <v>829</v>
      </c>
      <c r="B12" s="357" t="s">
        <v>33</v>
      </c>
      <c r="C12" s="120">
        <v>468</v>
      </c>
      <c r="D12" s="120">
        <v>231</v>
      </c>
      <c r="E12" s="120">
        <v>43244</v>
      </c>
      <c r="F12" s="119">
        <v>468</v>
      </c>
      <c r="G12" s="119">
        <f t="shared" si="0"/>
        <v>1</v>
      </c>
      <c r="H12" s="119">
        <v>20430</v>
      </c>
      <c r="I12" s="119">
        <v>22814</v>
      </c>
      <c r="J12" s="119">
        <f t="shared" si="1"/>
        <v>43244</v>
      </c>
      <c r="K12" s="119">
        <f t="shared" si="2"/>
        <v>1</v>
      </c>
    </row>
    <row r="13" spans="1:11" s="119" customFormat="1" ht="21" customHeight="1">
      <c r="A13" s="356" t="s">
        <v>830</v>
      </c>
      <c r="B13" s="357" t="s">
        <v>34</v>
      </c>
      <c r="C13" s="120">
        <v>473</v>
      </c>
      <c r="D13" s="120" t="s">
        <v>35</v>
      </c>
      <c r="E13" s="120" t="s">
        <v>35</v>
      </c>
      <c r="F13" s="119">
        <v>473</v>
      </c>
      <c r="G13" s="119">
        <f t="shared" si="0"/>
        <v>1</v>
      </c>
      <c r="H13" s="119">
        <v>22357</v>
      </c>
      <c r="I13" s="119">
        <v>0</v>
      </c>
      <c r="J13" s="119">
        <f t="shared" si="1"/>
        <v>22357</v>
      </c>
      <c r="K13" s="119" t="b">
        <f t="shared" si="2"/>
        <v>0</v>
      </c>
    </row>
    <row r="14" spans="1:11" s="119" customFormat="1" ht="21" customHeight="1">
      <c r="A14" s="356" t="s">
        <v>842</v>
      </c>
      <c r="B14" s="357" t="s">
        <v>36</v>
      </c>
      <c r="C14" s="120">
        <v>477</v>
      </c>
      <c r="D14" s="120" t="s">
        <v>208</v>
      </c>
      <c r="E14" s="120" t="s">
        <v>92</v>
      </c>
      <c r="F14" s="119">
        <v>477</v>
      </c>
      <c r="G14" s="119">
        <f t="shared" si="0"/>
        <v>1</v>
      </c>
      <c r="H14" s="119">
        <v>21908</v>
      </c>
      <c r="I14" s="119">
        <v>0</v>
      </c>
      <c r="J14" s="119">
        <f t="shared" si="1"/>
        <v>21908</v>
      </c>
      <c r="K14" s="119" t="b">
        <f t="shared" si="2"/>
        <v>0</v>
      </c>
    </row>
    <row r="15" spans="1:11" s="119" customFormat="1" ht="21" customHeight="1">
      <c r="A15" s="356" t="s">
        <v>855</v>
      </c>
      <c r="B15" s="357" t="s">
        <v>856</v>
      </c>
      <c r="C15" s="121" t="s">
        <v>1211</v>
      </c>
      <c r="D15" s="120" t="s">
        <v>857</v>
      </c>
      <c r="E15" s="120" t="s">
        <v>857</v>
      </c>
      <c r="F15" s="119">
        <v>461</v>
      </c>
      <c r="G15" s="119">
        <f>IF(C15=F15,1,0)</f>
        <v>0</v>
      </c>
      <c r="H15" s="119">
        <v>22615</v>
      </c>
      <c r="I15" s="119">
        <v>0</v>
      </c>
      <c r="J15" s="119">
        <f t="shared" si="1"/>
        <v>22615</v>
      </c>
      <c r="K15" s="119" t="b">
        <f t="shared" si="2"/>
        <v>0</v>
      </c>
    </row>
    <row r="16" spans="1:11" s="119" customFormat="1" ht="21" customHeight="1">
      <c r="A16" s="356" t="s">
        <v>1198</v>
      </c>
      <c r="B16" s="357" t="s">
        <v>1197</v>
      </c>
      <c r="C16" s="120">
        <f>C17+C23</f>
        <v>468</v>
      </c>
      <c r="D16" s="120" t="s">
        <v>92</v>
      </c>
      <c r="E16" s="120" t="s">
        <v>92</v>
      </c>
      <c r="H16" s="119">
        <v>23084</v>
      </c>
      <c r="I16" s="119">
        <v>0</v>
      </c>
      <c r="J16" s="119">
        <f t="shared" si="1"/>
        <v>23084</v>
      </c>
      <c r="K16" s="119" t="b">
        <f t="shared" si="2"/>
        <v>0</v>
      </c>
    </row>
    <row r="17" spans="1:5" s="119" customFormat="1" ht="21" customHeight="1">
      <c r="A17" s="358" t="s">
        <v>843</v>
      </c>
      <c r="B17" s="357"/>
      <c r="C17" s="120">
        <f>C18+C19+C20+C21+C22</f>
        <v>290</v>
      </c>
      <c r="D17" s="120">
        <f>D18+D19+D20+D21+D22</f>
        <v>0</v>
      </c>
      <c r="E17" s="120">
        <f>E18+E19+E20+E21+E22</f>
        <v>23084</v>
      </c>
    </row>
    <row r="18" spans="1:5" s="119" customFormat="1" ht="21" customHeight="1">
      <c r="A18" s="359" t="s">
        <v>844</v>
      </c>
      <c r="B18" s="360" t="s">
        <v>37</v>
      </c>
      <c r="C18" s="120">
        <v>191</v>
      </c>
      <c r="D18" s="120">
        <v>0</v>
      </c>
      <c r="E18" s="120">
        <v>17916</v>
      </c>
    </row>
    <row r="19" spans="1:5" s="119" customFormat="1" ht="21" customHeight="1">
      <c r="A19" s="359" t="s">
        <v>845</v>
      </c>
      <c r="B19" s="360" t="s">
        <v>38</v>
      </c>
      <c r="C19" s="120">
        <v>77</v>
      </c>
      <c r="D19" s="120">
        <v>0</v>
      </c>
      <c r="E19" s="120">
        <v>3880</v>
      </c>
    </row>
    <row r="20" spans="1:5" s="119" customFormat="1" ht="21" customHeight="1">
      <c r="A20" s="359" t="s">
        <v>846</v>
      </c>
      <c r="B20" s="360" t="s">
        <v>39</v>
      </c>
      <c r="C20" s="120">
        <v>21</v>
      </c>
      <c r="D20" s="120">
        <v>0</v>
      </c>
      <c r="E20" s="120">
        <v>1271</v>
      </c>
    </row>
    <row r="21" spans="1:5" s="119" customFormat="1" ht="21" customHeight="1">
      <c r="A21" s="359" t="s">
        <v>847</v>
      </c>
      <c r="B21" s="360" t="s">
        <v>40</v>
      </c>
      <c r="C21" s="120">
        <v>1</v>
      </c>
      <c r="D21" s="120">
        <v>0</v>
      </c>
      <c r="E21" s="120">
        <v>17</v>
      </c>
    </row>
    <row r="22" spans="1:5" s="119" customFormat="1" ht="21" customHeight="1">
      <c r="A22" s="359" t="s">
        <v>848</v>
      </c>
      <c r="B22" s="360" t="s">
        <v>41</v>
      </c>
      <c r="C22" s="120">
        <v>0</v>
      </c>
      <c r="D22" s="120">
        <v>0</v>
      </c>
      <c r="E22" s="120">
        <v>0</v>
      </c>
    </row>
    <row r="23" spans="1:5" s="119" customFormat="1" ht="21" customHeight="1">
      <c r="A23" s="358" t="s">
        <v>849</v>
      </c>
      <c r="B23" s="360"/>
      <c r="C23" s="121">
        <f>SUM(C24:C27)</f>
        <v>178</v>
      </c>
      <c r="D23" s="121" t="s">
        <v>858</v>
      </c>
      <c r="E23" s="121" t="s">
        <v>858</v>
      </c>
    </row>
    <row r="24" spans="1:5" s="119" customFormat="1" ht="21" customHeight="1">
      <c r="A24" s="359" t="s">
        <v>850</v>
      </c>
      <c r="B24" s="360" t="s">
        <v>43</v>
      </c>
      <c r="C24" s="121">
        <v>27</v>
      </c>
      <c r="D24" s="121" t="s">
        <v>858</v>
      </c>
      <c r="E24" s="121" t="s">
        <v>858</v>
      </c>
    </row>
    <row r="25" spans="1:5" s="119" customFormat="1" ht="21" customHeight="1">
      <c r="A25" s="359" t="s">
        <v>851</v>
      </c>
      <c r="B25" s="360" t="s">
        <v>44</v>
      </c>
      <c r="C25" s="121">
        <v>150</v>
      </c>
      <c r="D25" s="121" t="s">
        <v>858</v>
      </c>
      <c r="E25" s="121" t="s">
        <v>858</v>
      </c>
    </row>
    <row r="26" spans="1:5" s="119" customFormat="1" ht="21" customHeight="1">
      <c r="A26" s="359" t="s">
        <v>1181</v>
      </c>
      <c r="B26" s="360" t="s">
        <v>45</v>
      </c>
      <c r="C26" s="121">
        <v>1</v>
      </c>
      <c r="D26" s="121" t="s">
        <v>858</v>
      </c>
      <c r="E26" s="121" t="s">
        <v>858</v>
      </c>
    </row>
    <row r="27" spans="1:5" s="119" customFormat="1" ht="21" customHeight="1" thickBot="1">
      <c r="A27" s="361" t="s">
        <v>852</v>
      </c>
      <c r="B27" s="362" t="s">
        <v>41</v>
      </c>
      <c r="C27" s="122">
        <v>0</v>
      </c>
      <c r="D27" s="122" t="s">
        <v>858</v>
      </c>
      <c r="E27" s="122" t="s">
        <v>858</v>
      </c>
    </row>
    <row r="28" spans="1:11" s="177" customFormat="1" ht="12.75" customHeight="1">
      <c r="A28" s="363" t="s">
        <v>1182</v>
      </c>
      <c r="B28" s="364"/>
      <c r="C28" s="364"/>
      <c r="D28" s="364"/>
      <c r="E28" s="364"/>
      <c r="F28" s="377"/>
      <c r="G28" s="377"/>
      <c r="H28" s="377"/>
      <c r="I28" s="377"/>
      <c r="J28" s="377"/>
      <c r="K28" s="377"/>
    </row>
    <row r="29" spans="1:11" s="177" customFormat="1" ht="12.75" customHeight="1">
      <c r="A29" s="363" t="s">
        <v>46</v>
      </c>
      <c r="B29" s="363"/>
      <c r="C29" s="363"/>
      <c r="D29" s="363"/>
      <c r="E29" s="363"/>
      <c r="F29" s="368"/>
      <c r="G29" s="368"/>
      <c r="H29" s="368"/>
      <c r="I29" s="368"/>
      <c r="J29" s="368"/>
      <c r="K29" s="368"/>
    </row>
    <row r="30" spans="1:5" s="177" customFormat="1" ht="12.75" customHeight="1">
      <c r="A30" s="365" t="s">
        <v>1183</v>
      </c>
      <c r="B30" s="365"/>
      <c r="C30" s="365"/>
      <c r="D30" s="365"/>
      <c r="E30" s="365"/>
    </row>
    <row r="31" spans="1:5" s="177" customFormat="1" ht="12.75" customHeight="1">
      <c r="A31" s="365" t="s">
        <v>1184</v>
      </c>
      <c r="B31" s="365"/>
      <c r="C31" s="365"/>
      <c r="D31" s="365"/>
      <c r="E31" s="365"/>
    </row>
    <row r="32" spans="1:5" s="214" customFormat="1" ht="12.75" customHeight="1">
      <c r="A32" s="365" t="s">
        <v>1185</v>
      </c>
      <c r="B32" s="365"/>
      <c r="C32" s="365"/>
      <c r="D32" s="365"/>
      <c r="E32" s="365"/>
    </row>
    <row r="33" spans="1:5" s="214" customFormat="1" ht="12.75" customHeight="1">
      <c r="A33" s="365" t="s">
        <v>1186</v>
      </c>
      <c r="B33" s="365"/>
      <c r="C33" s="365"/>
      <c r="D33" s="365"/>
      <c r="E33" s="365"/>
    </row>
    <row r="34" spans="1:5" s="214" customFormat="1" ht="12.75" customHeight="1">
      <c r="A34" s="365" t="s">
        <v>1187</v>
      </c>
      <c r="B34" s="365"/>
      <c r="C34" s="365"/>
      <c r="D34" s="365"/>
      <c r="E34" s="365"/>
    </row>
    <row r="35" spans="1:5" s="177" customFormat="1" ht="12.75" customHeight="1">
      <c r="A35" s="580" t="s">
        <v>450</v>
      </c>
      <c r="B35" s="580"/>
      <c r="C35" s="580"/>
      <c r="D35" s="580"/>
      <c r="E35" s="580"/>
    </row>
    <row r="36" spans="1:5" s="177" customFormat="1" ht="12.75" customHeight="1">
      <c r="A36" s="580" t="s">
        <v>1068</v>
      </c>
      <c r="B36" s="580"/>
      <c r="C36" s="580"/>
      <c r="D36" s="580"/>
      <c r="E36" s="580"/>
    </row>
    <row r="37" spans="1:5" s="177" customFormat="1" ht="12.75" customHeight="1">
      <c r="A37" s="580" t="s">
        <v>1069</v>
      </c>
      <c r="B37" s="580"/>
      <c r="C37" s="580"/>
      <c r="D37" s="580"/>
      <c r="E37" s="580"/>
    </row>
    <row r="38" spans="1:5" s="177" customFormat="1" ht="12.75" customHeight="1">
      <c r="A38" s="363" t="s">
        <v>1188</v>
      </c>
      <c r="B38" s="366"/>
      <c r="C38" s="366"/>
      <c r="D38" s="366"/>
      <c r="E38" s="366"/>
    </row>
    <row r="39" spans="1:5" s="177" customFormat="1" ht="12.75" customHeight="1">
      <c r="A39" s="363" t="s">
        <v>47</v>
      </c>
      <c r="B39" s="366"/>
      <c r="C39" s="366"/>
      <c r="D39" s="366"/>
      <c r="E39" s="366"/>
    </row>
    <row r="40" spans="1:5" s="177" customFormat="1" ht="12.75" customHeight="1">
      <c r="A40" s="363" t="s">
        <v>48</v>
      </c>
      <c r="B40" s="366"/>
      <c r="C40" s="366"/>
      <c r="D40" s="366"/>
      <c r="E40" s="366"/>
    </row>
    <row r="41" spans="1:5" s="177" customFormat="1" ht="12.75" customHeight="1">
      <c r="A41" s="363" t="s">
        <v>1189</v>
      </c>
      <c r="B41" s="366"/>
      <c r="C41" s="366"/>
      <c r="D41" s="366"/>
      <c r="E41" s="366"/>
    </row>
    <row r="42" spans="1:5" s="177" customFormat="1" ht="12.75" customHeight="1">
      <c r="A42" s="367" t="s">
        <v>448</v>
      </c>
      <c r="B42" s="365"/>
      <c r="C42" s="365"/>
      <c r="D42" s="365"/>
      <c r="E42" s="365"/>
    </row>
    <row r="43" ht="13.5" customHeight="1">
      <c r="A43" s="368"/>
    </row>
  </sheetData>
  <sheetProtection/>
  <mergeCells count="7">
    <mergeCell ref="A37:E37"/>
    <mergeCell ref="A2:E2"/>
    <mergeCell ref="A3:E3"/>
    <mergeCell ref="A5:B5"/>
    <mergeCell ref="A6:B6"/>
    <mergeCell ref="A35:E35"/>
    <mergeCell ref="A36:E36"/>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T19"/>
  <sheetViews>
    <sheetView showGridLines="0" view="pageBreakPreview" zoomScale="55" zoomScaleNormal="120" zoomScaleSheetLayoutView="55" zoomScalePageLayoutView="0" workbookViewId="0" topLeftCell="A1">
      <selection activeCell="A1" sqref="A1"/>
    </sheetView>
  </sheetViews>
  <sheetFormatPr defaultColWidth="9.00390625" defaultRowHeight="16.5"/>
  <cols>
    <col min="1" max="1" width="9.625" style="158" customWidth="1"/>
    <col min="2" max="2" width="13.125" style="11" customWidth="1"/>
    <col min="3" max="7" width="9.125" style="11" customWidth="1"/>
    <col min="8" max="9" width="9.50390625" style="11" customWidth="1"/>
    <col min="10" max="18" width="9.75390625" style="11" customWidth="1"/>
    <col min="19" max="20" width="0" style="11" hidden="1" customWidth="1"/>
    <col min="21" max="16384" width="9.00390625" style="11" customWidth="1"/>
  </cols>
  <sheetData>
    <row r="1" spans="1:18" s="158" customFormat="1" ht="18" customHeight="1">
      <c r="A1" s="210" t="s">
        <v>1077</v>
      </c>
      <c r="Q1" s="717" t="s">
        <v>0</v>
      </c>
      <c r="R1" s="717"/>
    </row>
    <row r="2" spans="1:18" s="158" customFormat="1" ht="24.75" customHeight="1">
      <c r="A2" s="716" t="s">
        <v>1123</v>
      </c>
      <c r="B2" s="716"/>
      <c r="C2" s="716"/>
      <c r="D2" s="716"/>
      <c r="E2" s="716"/>
      <c r="F2" s="716"/>
      <c r="G2" s="716"/>
      <c r="H2" s="716"/>
      <c r="I2" s="716"/>
      <c r="J2" s="716" t="s">
        <v>308</v>
      </c>
      <c r="K2" s="716"/>
      <c r="L2" s="716"/>
      <c r="M2" s="716"/>
      <c r="N2" s="716"/>
      <c r="O2" s="716"/>
      <c r="P2" s="716"/>
      <c r="Q2" s="716"/>
      <c r="R2" s="716"/>
    </row>
    <row r="3" spans="1:16" s="158" customFormat="1" ht="15" customHeight="1" thickBot="1">
      <c r="A3" s="179"/>
      <c r="B3" s="179"/>
      <c r="C3" s="179"/>
      <c r="D3" s="179"/>
      <c r="E3" s="179"/>
      <c r="G3" s="179"/>
      <c r="H3" s="179"/>
      <c r="I3" s="179"/>
      <c r="J3" s="179"/>
      <c r="K3" s="179"/>
      <c r="L3" s="179"/>
      <c r="M3" s="179"/>
      <c r="N3" s="179"/>
      <c r="O3" s="179"/>
      <c r="P3" s="179"/>
    </row>
    <row r="4" spans="1:20" s="173" customFormat="1" ht="24.75" customHeight="1">
      <c r="A4" s="688" t="s">
        <v>590</v>
      </c>
      <c r="B4" s="808" t="s">
        <v>936</v>
      </c>
      <c r="C4" s="810" t="s">
        <v>619</v>
      </c>
      <c r="D4" s="811"/>
      <c r="E4" s="811"/>
      <c r="F4" s="811"/>
      <c r="G4" s="811"/>
      <c r="H4" s="811"/>
      <c r="I4" s="811"/>
      <c r="J4" s="690" t="s">
        <v>309</v>
      </c>
      <c r="K4" s="690"/>
      <c r="L4" s="690"/>
      <c r="M4" s="690"/>
      <c r="N4" s="690"/>
      <c r="O4" s="690"/>
      <c r="P4" s="690"/>
      <c r="Q4" s="690"/>
      <c r="R4" s="690"/>
      <c r="S4" s="180"/>
      <c r="T4" s="180"/>
    </row>
    <row r="5" spans="1:20" s="173" customFormat="1" ht="24.75" customHeight="1">
      <c r="A5" s="683"/>
      <c r="B5" s="809"/>
      <c r="C5" s="681" t="s">
        <v>1124</v>
      </c>
      <c r="D5" s="681" t="s">
        <v>620</v>
      </c>
      <c r="E5" s="681" t="s">
        <v>621</v>
      </c>
      <c r="F5" s="681" t="s">
        <v>622</v>
      </c>
      <c r="G5" s="681" t="s">
        <v>1125</v>
      </c>
      <c r="H5" s="681" t="s">
        <v>1126</v>
      </c>
      <c r="I5" s="681" t="s">
        <v>1127</v>
      </c>
      <c r="J5" s="692" t="s">
        <v>1128</v>
      </c>
      <c r="K5" s="681"/>
      <c r="L5" s="681"/>
      <c r="M5" s="681"/>
      <c r="N5" s="681"/>
      <c r="O5" s="681"/>
      <c r="P5" s="681"/>
      <c r="Q5" s="681" t="s">
        <v>623</v>
      </c>
      <c r="R5" s="696" t="s">
        <v>624</v>
      </c>
      <c r="S5" s="180"/>
      <c r="T5" s="180"/>
    </row>
    <row r="6" spans="1:20" s="173" customFormat="1" ht="20.25" customHeight="1">
      <c r="A6" s="683"/>
      <c r="B6" s="727" t="s">
        <v>310</v>
      </c>
      <c r="C6" s="725"/>
      <c r="D6" s="725"/>
      <c r="E6" s="725"/>
      <c r="F6" s="725"/>
      <c r="G6" s="725"/>
      <c r="H6" s="725"/>
      <c r="I6" s="725"/>
      <c r="J6" s="692" t="s">
        <v>625</v>
      </c>
      <c r="K6" s="681" t="s">
        <v>1129</v>
      </c>
      <c r="L6" s="681" t="s">
        <v>626</v>
      </c>
      <c r="M6" s="681" t="s">
        <v>627</v>
      </c>
      <c r="N6" s="681" t="s">
        <v>628</v>
      </c>
      <c r="O6" s="681" t="s">
        <v>1130</v>
      </c>
      <c r="P6" s="681" t="s">
        <v>1131</v>
      </c>
      <c r="Q6" s="725"/>
      <c r="R6" s="710"/>
      <c r="S6" s="180"/>
      <c r="T6" s="180"/>
    </row>
    <row r="7" spans="1:20" s="173" customFormat="1" ht="30" customHeight="1">
      <c r="A7" s="683"/>
      <c r="B7" s="727"/>
      <c r="C7" s="725" t="s">
        <v>161</v>
      </c>
      <c r="D7" s="725" t="s">
        <v>311</v>
      </c>
      <c r="E7" s="725" t="s">
        <v>312</v>
      </c>
      <c r="F7" s="725" t="s">
        <v>313</v>
      </c>
      <c r="G7" s="725" t="s">
        <v>314</v>
      </c>
      <c r="H7" s="725" t="s">
        <v>315</v>
      </c>
      <c r="I7" s="725" t="s">
        <v>451</v>
      </c>
      <c r="J7" s="700"/>
      <c r="K7" s="725"/>
      <c r="L7" s="725"/>
      <c r="M7" s="725"/>
      <c r="N7" s="725"/>
      <c r="O7" s="725"/>
      <c r="P7" s="725"/>
      <c r="Q7" s="725" t="s">
        <v>316</v>
      </c>
      <c r="R7" s="710" t="s">
        <v>187</v>
      </c>
      <c r="S7" s="180"/>
      <c r="T7" s="180"/>
    </row>
    <row r="8" spans="1:20" s="173" customFormat="1" ht="38.25" customHeight="1" thickBot="1">
      <c r="A8" s="166" t="s">
        <v>296</v>
      </c>
      <c r="B8" s="728"/>
      <c r="C8" s="729"/>
      <c r="D8" s="729"/>
      <c r="E8" s="729"/>
      <c r="F8" s="729"/>
      <c r="G8" s="729"/>
      <c r="H8" s="729"/>
      <c r="I8" s="729"/>
      <c r="J8" s="245" t="s">
        <v>317</v>
      </c>
      <c r="K8" s="243" t="s">
        <v>318</v>
      </c>
      <c r="L8" s="243" t="s">
        <v>319</v>
      </c>
      <c r="M8" s="243" t="s">
        <v>320</v>
      </c>
      <c r="N8" s="243" t="s">
        <v>321</v>
      </c>
      <c r="O8" s="243" t="s">
        <v>322</v>
      </c>
      <c r="P8" s="243" t="s">
        <v>323</v>
      </c>
      <c r="Q8" s="729"/>
      <c r="R8" s="731"/>
      <c r="S8" s="180"/>
      <c r="T8" s="180"/>
    </row>
    <row r="9" spans="1:18" ht="56.25" customHeight="1">
      <c r="A9" s="163" t="s">
        <v>605</v>
      </c>
      <c r="B9" s="77">
        <v>74</v>
      </c>
      <c r="C9" s="25">
        <f aca="true" t="shared" si="0" ref="C9:C16">SUM(D9:J9,Q9,R9)</f>
        <v>77</v>
      </c>
      <c r="D9" s="25">
        <v>9</v>
      </c>
      <c r="E9" s="54" t="s">
        <v>92</v>
      </c>
      <c r="F9" s="54" t="s">
        <v>92</v>
      </c>
      <c r="G9" s="54" t="s">
        <v>92</v>
      </c>
      <c r="H9" s="54" t="s">
        <v>92</v>
      </c>
      <c r="I9" s="54" t="s">
        <v>92</v>
      </c>
      <c r="J9" s="25">
        <f aca="true" t="shared" si="1" ref="J9:J15">SUM(K9:P9)</f>
        <v>56</v>
      </c>
      <c r="K9" s="25">
        <v>19</v>
      </c>
      <c r="L9" s="25" t="s">
        <v>59</v>
      </c>
      <c r="M9" s="25">
        <v>30</v>
      </c>
      <c r="N9" s="25" t="s">
        <v>59</v>
      </c>
      <c r="O9" s="25" t="s">
        <v>59</v>
      </c>
      <c r="P9" s="25">
        <v>7</v>
      </c>
      <c r="Q9" s="25">
        <v>9</v>
      </c>
      <c r="R9" s="25">
        <v>3</v>
      </c>
    </row>
    <row r="10" spans="1:18" ht="56.25" customHeight="1">
      <c r="A10" s="163" t="s">
        <v>606</v>
      </c>
      <c r="B10" s="77">
        <v>52</v>
      </c>
      <c r="C10" s="25">
        <f t="shared" si="0"/>
        <v>610</v>
      </c>
      <c r="D10" s="25">
        <v>15</v>
      </c>
      <c r="E10" s="25">
        <v>434</v>
      </c>
      <c r="F10" s="54" t="s">
        <v>92</v>
      </c>
      <c r="G10" s="25" t="s">
        <v>59</v>
      </c>
      <c r="H10" s="25" t="s">
        <v>59</v>
      </c>
      <c r="I10" s="54" t="s">
        <v>92</v>
      </c>
      <c r="J10" s="25">
        <f t="shared" si="1"/>
        <v>23</v>
      </c>
      <c r="K10" s="25">
        <v>8</v>
      </c>
      <c r="L10" s="25" t="s">
        <v>59</v>
      </c>
      <c r="M10" s="25">
        <v>13</v>
      </c>
      <c r="N10" s="25">
        <v>1</v>
      </c>
      <c r="O10" s="25">
        <v>1</v>
      </c>
      <c r="P10" s="25" t="s">
        <v>59</v>
      </c>
      <c r="Q10" s="25">
        <v>11</v>
      </c>
      <c r="R10" s="25">
        <v>127</v>
      </c>
    </row>
    <row r="11" spans="1:18" ht="56.25" customHeight="1">
      <c r="A11" s="163" t="s">
        <v>607</v>
      </c>
      <c r="B11" s="77">
        <v>80</v>
      </c>
      <c r="C11" s="25">
        <f t="shared" si="0"/>
        <v>447</v>
      </c>
      <c r="D11" s="25">
        <v>5</v>
      </c>
      <c r="E11" s="25">
        <v>87</v>
      </c>
      <c r="F11" s="54" t="s">
        <v>92</v>
      </c>
      <c r="G11" s="25">
        <v>1</v>
      </c>
      <c r="H11" s="25" t="s">
        <v>59</v>
      </c>
      <c r="I11" s="54" t="s">
        <v>92</v>
      </c>
      <c r="J11" s="25">
        <f t="shared" si="1"/>
        <v>19</v>
      </c>
      <c r="K11" s="25">
        <v>8</v>
      </c>
      <c r="L11" s="25">
        <v>1</v>
      </c>
      <c r="M11" s="25">
        <v>10</v>
      </c>
      <c r="N11" s="25" t="s">
        <v>59</v>
      </c>
      <c r="O11" s="25" t="s">
        <v>59</v>
      </c>
      <c r="P11" s="25" t="s">
        <v>59</v>
      </c>
      <c r="Q11" s="25">
        <v>7</v>
      </c>
      <c r="R11" s="25">
        <v>328</v>
      </c>
    </row>
    <row r="12" spans="1:18" ht="56.25" customHeight="1">
      <c r="A12" s="163" t="s">
        <v>608</v>
      </c>
      <c r="B12" s="77">
        <v>26</v>
      </c>
      <c r="C12" s="25">
        <f t="shared" si="0"/>
        <v>1631</v>
      </c>
      <c r="D12" s="25">
        <v>5</v>
      </c>
      <c r="E12" s="25">
        <v>514</v>
      </c>
      <c r="F12" s="25">
        <v>989</v>
      </c>
      <c r="G12" s="25">
        <v>3</v>
      </c>
      <c r="H12" s="25">
        <v>3</v>
      </c>
      <c r="I12" s="54" t="s">
        <v>92</v>
      </c>
      <c r="J12" s="25">
        <f t="shared" si="1"/>
        <v>31</v>
      </c>
      <c r="K12" s="25">
        <v>7</v>
      </c>
      <c r="L12" s="25" t="s">
        <v>59</v>
      </c>
      <c r="M12" s="25">
        <v>10</v>
      </c>
      <c r="N12" s="25" t="s">
        <v>59</v>
      </c>
      <c r="O12" s="25">
        <v>12</v>
      </c>
      <c r="P12" s="25">
        <v>2</v>
      </c>
      <c r="Q12" s="25">
        <v>5</v>
      </c>
      <c r="R12" s="25">
        <v>81</v>
      </c>
    </row>
    <row r="13" spans="1:18" ht="56.25" customHeight="1">
      <c r="A13" s="163" t="s">
        <v>609</v>
      </c>
      <c r="B13" s="77">
        <v>100</v>
      </c>
      <c r="C13" s="25">
        <f t="shared" si="0"/>
        <v>3231</v>
      </c>
      <c r="D13" s="25">
        <v>7</v>
      </c>
      <c r="E13" s="25">
        <v>1953</v>
      </c>
      <c r="F13" s="25">
        <v>473</v>
      </c>
      <c r="G13" s="25">
        <v>326</v>
      </c>
      <c r="H13" s="25">
        <v>105</v>
      </c>
      <c r="I13" s="54" t="s">
        <v>92</v>
      </c>
      <c r="J13" s="25">
        <f t="shared" si="1"/>
        <v>62</v>
      </c>
      <c r="K13" s="25">
        <v>8</v>
      </c>
      <c r="L13" s="25" t="s">
        <v>59</v>
      </c>
      <c r="M13" s="25">
        <v>14</v>
      </c>
      <c r="N13" s="25">
        <v>1</v>
      </c>
      <c r="O13" s="25">
        <v>35</v>
      </c>
      <c r="P13" s="25">
        <v>4</v>
      </c>
      <c r="Q13" s="25">
        <v>15</v>
      </c>
      <c r="R13" s="25">
        <v>290</v>
      </c>
    </row>
    <row r="14" spans="1:18" ht="56.25" customHeight="1">
      <c r="A14" s="163" t="s">
        <v>610</v>
      </c>
      <c r="B14" s="77">
        <v>97</v>
      </c>
      <c r="C14" s="25">
        <f t="shared" si="0"/>
        <v>3660</v>
      </c>
      <c r="D14" s="25" t="s">
        <v>59</v>
      </c>
      <c r="E14" s="25">
        <v>2515</v>
      </c>
      <c r="F14" s="25">
        <v>450</v>
      </c>
      <c r="G14" s="25">
        <v>217</v>
      </c>
      <c r="H14" s="25">
        <v>76</v>
      </c>
      <c r="I14" s="54" t="s">
        <v>92</v>
      </c>
      <c r="J14" s="25">
        <f t="shared" si="1"/>
        <v>36</v>
      </c>
      <c r="K14" s="25">
        <v>2</v>
      </c>
      <c r="L14" s="25" t="s">
        <v>59</v>
      </c>
      <c r="M14" s="25">
        <v>5</v>
      </c>
      <c r="N14" s="25" t="s">
        <v>59</v>
      </c>
      <c r="O14" s="25">
        <v>29</v>
      </c>
      <c r="P14" s="25" t="s">
        <v>59</v>
      </c>
      <c r="Q14" s="25">
        <v>9</v>
      </c>
      <c r="R14" s="25">
        <v>357</v>
      </c>
    </row>
    <row r="15" spans="1:18" s="14" customFormat="1" ht="56.25" customHeight="1">
      <c r="A15" s="163" t="s">
        <v>611</v>
      </c>
      <c r="B15" s="21">
        <v>142</v>
      </c>
      <c r="C15" s="25">
        <f t="shared" si="0"/>
        <v>4647</v>
      </c>
      <c r="D15" s="23">
        <v>3</v>
      </c>
      <c r="E15" s="23">
        <v>3243</v>
      </c>
      <c r="F15" s="23">
        <v>450</v>
      </c>
      <c r="G15" s="23">
        <v>129</v>
      </c>
      <c r="H15" s="23">
        <v>88</v>
      </c>
      <c r="I15" s="23">
        <v>6</v>
      </c>
      <c r="J15" s="25">
        <f t="shared" si="1"/>
        <v>73</v>
      </c>
      <c r="K15" s="23">
        <v>14</v>
      </c>
      <c r="L15" s="23" t="s">
        <v>59</v>
      </c>
      <c r="M15" s="23">
        <v>15</v>
      </c>
      <c r="N15" s="23">
        <v>2</v>
      </c>
      <c r="O15" s="23">
        <v>37</v>
      </c>
      <c r="P15" s="23">
        <v>5</v>
      </c>
      <c r="Q15" s="23">
        <v>17</v>
      </c>
      <c r="R15" s="23">
        <v>638</v>
      </c>
    </row>
    <row r="16" spans="1:18" ht="56.25" customHeight="1">
      <c r="A16" s="163" t="s">
        <v>538</v>
      </c>
      <c r="B16" s="77">
        <v>260</v>
      </c>
      <c r="C16" s="25">
        <f t="shared" si="0"/>
        <v>5644</v>
      </c>
      <c r="D16" s="25">
        <v>1</v>
      </c>
      <c r="E16" s="54">
        <v>3719</v>
      </c>
      <c r="F16" s="54">
        <v>652</v>
      </c>
      <c r="G16" s="54">
        <v>105</v>
      </c>
      <c r="H16" s="54">
        <v>77</v>
      </c>
      <c r="I16" s="54">
        <v>11</v>
      </c>
      <c r="J16" s="25">
        <f>SUM(K16:P16)</f>
        <v>122</v>
      </c>
      <c r="K16" s="25">
        <v>3</v>
      </c>
      <c r="L16" s="25" t="s">
        <v>937</v>
      </c>
      <c r="M16" s="25">
        <v>22</v>
      </c>
      <c r="N16" s="25">
        <v>2</v>
      </c>
      <c r="O16" s="25">
        <v>87</v>
      </c>
      <c r="P16" s="25">
        <v>8</v>
      </c>
      <c r="Q16" s="25">
        <v>18</v>
      </c>
      <c r="R16" s="25">
        <v>939</v>
      </c>
    </row>
    <row r="17" spans="1:20" s="14" customFormat="1" ht="56.25" customHeight="1">
      <c r="A17" s="163" t="s">
        <v>935</v>
      </c>
      <c r="B17" s="77">
        <v>314</v>
      </c>
      <c r="C17" s="25">
        <f>SUM(D17:J17,Q17,R17)</f>
        <v>5170</v>
      </c>
      <c r="D17" s="25">
        <v>2</v>
      </c>
      <c r="E17" s="54">
        <v>3056</v>
      </c>
      <c r="F17" s="54">
        <v>608</v>
      </c>
      <c r="G17" s="54">
        <v>264</v>
      </c>
      <c r="H17" s="54">
        <v>137</v>
      </c>
      <c r="I17" s="54">
        <v>8</v>
      </c>
      <c r="J17" s="25">
        <f>SUM(K17:P17)</f>
        <v>185</v>
      </c>
      <c r="K17" s="25">
        <v>19</v>
      </c>
      <c r="L17" s="25" t="s">
        <v>59</v>
      </c>
      <c r="M17" s="25">
        <v>21</v>
      </c>
      <c r="N17" s="25" t="s">
        <v>937</v>
      </c>
      <c r="O17" s="25">
        <v>132</v>
      </c>
      <c r="P17" s="25">
        <v>13</v>
      </c>
      <c r="Q17" s="25">
        <v>12</v>
      </c>
      <c r="R17" s="25">
        <v>898</v>
      </c>
      <c r="S17" s="100">
        <f>SUM(D17:I17)+J17+R17+Q17</f>
        <v>5170</v>
      </c>
      <c r="T17" s="100">
        <f>SUM(K17:P17)</f>
        <v>185</v>
      </c>
    </row>
    <row r="18" spans="1:18" s="14" customFormat="1" ht="56.25" customHeight="1" thickBot="1">
      <c r="A18" s="412" t="s">
        <v>1206</v>
      </c>
      <c r="B18" s="78">
        <v>318</v>
      </c>
      <c r="C18" s="28">
        <f>SUM(D18:J18,Q18,R18)</f>
        <v>6215</v>
      </c>
      <c r="D18" s="28">
        <v>1</v>
      </c>
      <c r="E18" s="63">
        <v>3675</v>
      </c>
      <c r="F18" s="63">
        <v>609</v>
      </c>
      <c r="G18" s="63">
        <v>439</v>
      </c>
      <c r="H18" s="63">
        <v>154</v>
      </c>
      <c r="I18" s="63">
        <v>8</v>
      </c>
      <c r="J18" s="28">
        <f>SUM(K18:P18)</f>
        <v>251</v>
      </c>
      <c r="K18" s="28">
        <v>60</v>
      </c>
      <c r="L18" s="28" t="s">
        <v>59</v>
      </c>
      <c r="M18" s="28">
        <v>10</v>
      </c>
      <c r="N18" s="28">
        <v>10</v>
      </c>
      <c r="O18" s="28">
        <v>164</v>
      </c>
      <c r="P18" s="28">
        <v>7</v>
      </c>
      <c r="Q18" s="28">
        <v>22</v>
      </c>
      <c r="R18" s="28">
        <v>1056</v>
      </c>
    </row>
    <row r="19" spans="1:16" s="158" customFormat="1" ht="15" customHeight="1">
      <c r="A19" s="174" t="s">
        <v>1080</v>
      </c>
      <c r="B19" s="176"/>
      <c r="C19" s="176"/>
      <c r="D19" s="176"/>
      <c r="G19" s="176"/>
      <c r="H19" s="176"/>
      <c r="I19" s="176"/>
      <c r="J19" s="247" t="s">
        <v>938</v>
      </c>
      <c r="K19" s="176"/>
      <c r="L19" s="176"/>
      <c r="M19" s="176"/>
      <c r="N19" s="176"/>
      <c r="O19" s="176"/>
      <c r="P19" s="176"/>
    </row>
    <row r="20" s="158" customFormat="1" ht="12.75"/>
    <row r="21" s="158" customFormat="1" ht="12.75"/>
    <row r="22" s="158" customFormat="1" ht="12.75"/>
    <row r="23" s="158" customFormat="1" ht="12.75"/>
    <row r="24" s="158" customFormat="1" ht="12.75"/>
    <row r="25" s="158" customFormat="1" ht="12.75"/>
    <row r="26" s="158" customFormat="1" ht="12.75"/>
    <row r="27" s="158" customFormat="1" ht="12.75"/>
    <row r="28" s="158" customFormat="1" ht="12.75"/>
    <row r="29" s="158" customFormat="1" ht="12.75"/>
    <row r="30" s="158" customFormat="1" ht="12.75"/>
    <row r="31" s="158" customFormat="1" ht="12.75"/>
    <row r="32" s="158" customFormat="1" ht="12.75"/>
    <row r="33" s="158" customFormat="1" ht="12.75"/>
    <row r="34" s="158" customFormat="1" ht="12.75"/>
    <row r="35" s="158" customFormat="1" ht="12.75"/>
    <row r="36" s="158" customFormat="1" ht="12.75"/>
    <row r="37" s="158" customFormat="1" ht="12.75"/>
    <row r="38" s="158" customFormat="1" ht="12.75"/>
    <row r="39" s="158" customFormat="1" ht="12.75"/>
    <row r="40" s="158" customFormat="1" ht="12.75"/>
    <row r="41" s="158" customFormat="1" ht="12.75"/>
    <row r="42" s="158" customFormat="1" ht="12.75"/>
  </sheetData>
  <sheetProtection/>
  <mergeCells count="34">
    <mergeCell ref="A2:I2"/>
    <mergeCell ref="Q7:Q8"/>
    <mergeCell ref="R7:R8"/>
    <mergeCell ref="D7:D8"/>
    <mergeCell ref="E7:E8"/>
    <mergeCell ref="F7:F8"/>
    <mergeCell ref="G7:G8"/>
    <mergeCell ref="H7:H8"/>
    <mergeCell ref="I7:I8"/>
    <mergeCell ref="R5:R6"/>
    <mergeCell ref="B6:B8"/>
    <mergeCell ref="J6:J7"/>
    <mergeCell ref="K6:K7"/>
    <mergeCell ref="L6:L7"/>
    <mergeCell ref="M6:M7"/>
    <mergeCell ref="N6:N7"/>
    <mergeCell ref="O6:O7"/>
    <mergeCell ref="P6:P7"/>
    <mergeCell ref="C7:C8"/>
    <mergeCell ref="F5:F6"/>
    <mergeCell ref="G5:G6"/>
    <mergeCell ref="H5:H6"/>
    <mergeCell ref="I5:I6"/>
    <mergeCell ref="J5:P5"/>
    <mergeCell ref="Q5:Q6"/>
    <mergeCell ref="Q1:R1"/>
    <mergeCell ref="J2:R2"/>
    <mergeCell ref="A4:A7"/>
    <mergeCell ref="B4:B5"/>
    <mergeCell ref="C4:I4"/>
    <mergeCell ref="J4:R4"/>
    <mergeCell ref="C5:C6"/>
    <mergeCell ref="D5:D6"/>
    <mergeCell ref="E5:E6"/>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colBreaks count="1" manualBreakCount="1">
    <brk id="9" max="65535" man="1"/>
  </colBreaks>
  <legacyDrawing r:id="rId2"/>
</worksheet>
</file>

<file path=xl/worksheets/sheet21.xml><?xml version="1.0" encoding="utf-8"?>
<worksheet xmlns="http://schemas.openxmlformats.org/spreadsheetml/2006/main" xmlns:r="http://schemas.openxmlformats.org/officeDocument/2006/relationships">
  <dimension ref="A1:AA26"/>
  <sheetViews>
    <sheetView showGridLines="0" view="pageBreakPreview" zoomScale="55" zoomScaleNormal="120" zoomScaleSheetLayoutView="55"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6.5"/>
  <cols>
    <col min="1" max="1" width="9.625" style="158" customWidth="1"/>
    <col min="2" max="2" width="6.875" style="11" customWidth="1"/>
    <col min="3" max="5" width="6.50390625" style="11" customWidth="1"/>
    <col min="6" max="6" width="6.875" style="11" customWidth="1"/>
    <col min="7" max="9" width="6.125" style="11" customWidth="1"/>
    <col min="10" max="10" width="6.875" style="11" customWidth="1"/>
    <col min="11" max="13" width="6.50390625" style="11" customWidth="1"/>
    <col min="14" max="14" width="7.375" style="11" customWidth="1"/>
    <col min="15" max="17" width="7.125" style="11" customWidth="1"/>
    <col min="18" max="18" width="7.375" style="11" customWidth="1"/>
    <col min="19" max="21" width="7.125" style="11" customWidth="1"/>
    <col min="22" max="22" width="7.375" style="11" customWidth="1"/>
    <col min="23" max="25" width="7.125" style="11" customWidth="1"/>
    <col min="26" max="26" width="9.00390625" style="11" customWidth="1"/>
    <col min="27" max="27" width="0" style="11" hidden="1" customWidth="1"/>
    <col min="28" max="16384" width="9.00390625" style="11" customWidth="1"/>
  </cols>
  <sheetData>
    <row r="1" spans="1:25" s="158" customFormat="1" ht="18" customHeight="1">
      <c r="A1" s="210" t="s">
        <v>1077</v>
      </c>
      <c r="X1" s="717" t="s">
        <v>0</v>
      </c>
      <c r="Y1" s="717"/>
    </row>
    <row r="2" spans="1:25" s="158" customFormat="1" ht="24.75" customHeight="1">
      <c r="A2" s="716" t="s">
        <v>1119</v>
      </c>
      <c r="B2" s="716"/>
      <c r="C2" s="716"/>
      <c r="D2" s="716"/>
      <c r="E2" s="716"/>
      <c r="F2" s="716"/>
      <c r="G2" s="716"/>
      <c r="H2" s="716"/>
      <c r="I2" s="716"/>
      <c r="J2" s="716"/>
      <c r="K2" s="716"/>
      <c r="L2" s="716"/>
      <c r="M2" s="716"/>
      <c r="N2" s="716" t="s">
        <v>324</v>
      </c>
      <c r="O2" s="716"/>
      <c r="P2" s="716"/>
      <c r="Q2" s="716"/>
      <c r="R2" s="716"/>
      <c r="S2" s="716"/>
      <c r="T2" s="716"/>
      <c r="U2" s="716"/>
      <c r="V2" s="716"/>
      <c r="W2" s="716"/>
      <c r="X2" s="716"/>
      <c r="Y2" s="716"/>
    </row>
    <row r="3" spans="1:25" s="158" customFormat="1" ht="15" customHeight="1" thickBot="1">
      <c r="A3" s="179"/>
      <c r="B3" s="179"/>
      <c r="C3" s="179"/>
      <c r="D3" s="179"/>
      <c r="E3" s="179"/>
      <c r="G3" s="179"/>
      <c r="H3" s="176"/>
      <c r="I3" s="179"/>
      <c r="J3" s="179"/>
      <c r="K3" s="179"/>
      <c r="L3" s="179"/>
      <c r="M3" s="176" t="s">
        <v>1120</v>
      </c>
      <c r="N3" s="179"/>
      <c r="O3" s="179"/>
      <c r="Y3" s="159" t="s">
        <v>325</v>
      </c>
    </row>
    <row r="4" spans="1:26" s="173" customFormat="1" ht="15.75" customHeight="1">
      <c r="A4" s="688" t="s">
        <v>590</v>
      </c>
      <c r="B4" s="689" t="s">
        <v>612</v>
      </c>
      <c r="C4" s="690"/>
      <c r="D4" s="690"/>
      <c r="E4" s="690"/>
      <c r="F4" s="690"/>
      <c r="G4" s="690"/>
      <c r="H4" s="690"/>
      <c r="I4" s="690"/>
      <c r="J4" s="690"/>
      <c r="K4" s="690"/>
      <c r="L4" s="690"/>
      <c r="M4" s="690"/>
      <c r="N4" s="690"/>
      <c r="O4" s="690"/>
      <c r="P4" s="690"/>
      <c r="Q4" s="691"/>
      <c r="R4" s="709" t="s">
        <v>1121</v>
      </c>
      <c r="S4" s="690"/>
      <c r="T4" s="690"/>
      <c r="U4" s="690"/>
      <c r="V4" s="709" t="s">
        <v>1122</v>
      </c>
      <c r="W4" s="690"/>
      <c r="X4" s="690"/>
      <c r="Y4" s="691"/>
      <c r="Z4" s="180"/>
    </row>
    <row r="5" spans="1:26" s="173" customFormat="1" ht="15.75" customHeight="1">
      <c r="A5" s="683"/>
      <c r="B5" s="723" t="s">
        <v>326</v>
      </c>
      <c r="C5" s="685"/>
      <c r="D5" s="685"/>
      <c r="E5" s="685"/>
      <c r="F5" s="685"/>
      <c r="G5" s="685"/>
      <c r="H5" s="685"/>
      <c r="I5" s="685"/>
      <c r="J5" s="685"/>
      <c r="K5" s="685"/>
      <c r="L5" s="685"/>
      <c r="M5" s="685"/>
      <c r="N5" s="685"/>
      <c r="O5" s="685"/>
      <c r="P5" s="685"/>
      <c r="Q5" s="679"/>
      <c r="R5" s="710"/>
      <c r="S5" s="699"/>
      <c r="T5" s="699"/>
      <c r="U5" s="699"/>
      <c r="V5" s="710"/>
      <c r="W5" s="699"/>
      <c r="X5" s="699"/>
      <c r="Y5" s="700"/>
      <c r="Z5" s="180"/>
    </row>
    <row r="6" spans="1:27" s="173" customFormat="1" ht="15.75" customHeight="1">
      <c r="A6" s="683"/>
      <c r="B6" s="711" t="s">
        <v>613</v>
      </c>
      <c r="C6" s="697"/>
      <c r="D6" s="697"/>
      <c r="E6" s="697"/>
      <c r="F6" s="697"/>
      <c r="G6" s="697"/>
      <c r="H6" s="697"/>
      <c r="I6" s="697"/>
      <c r="J6" s="697"/>
      <c r="K6" s="697"/>
      <c r="L6" s="697"/>
      <c r="M6" s="692"/>
      <c r="N6" s="697" t="s">
        <v>614</v>
      </c>
      <c r="O6" s="697"/>
      <c r="P6" s="697"/>
      <c r="Q6" s="692"/>
      <c r="R6" s="710"/>
      <c r="S6" s="699"/>
      <c r="T6" s="699"/>
      <c r="U6" s="699"/>
      <c r="V6" s="710"/>
      <c r="W6" s="699"/>
      <c r="X6" s="699"/>
      <c r="Y6" s="700"/>
      <c r="Z6" s="180"/>
      <c r="AA6" s="409" t="s">
        <v>1323</v>
      </c>
    </row>
    <row r="7" spans="1:26" s="173" customFormat="1" ht="15.75" customHeight="1">
      <c r="A7" s="683"/>
      <c r="B7" s="723" t="s">
        <v>327</v>
      </c>
      <c r="C7" s="685"/>
      <c r="D7" s="685"/>
      <c r="E7" s="685"/>
      <c r="F7" s="685"/>
      <c r="G7" s="685"/>
      <c r="H7" s="685"/>
      <c r="I7" s="685"/>
      <c r="J7" s="685"/>
      <c r="K7" s="685"/>
      <c r="L7" s="685"/>
      <c r="M7" s="679"/>
      <c r="N7" s="699"/>
      <c r="O7" s="699"/>
      <c r="P7" s="699"/>
      <c r="Q7" s="700"/>
      <c r="R7" s="710" t="s">
        <v>328</v>
      </c>
      <c r="S7" s="699"/>
      <c r="T7" s="699"/>
      <c r="U7" s="699"/>
      <c r="V7" s="710" t="s">
        <v>329</v>
      </c>
      <c r="W7" s="699"/>
      <c r="X7" s="699"/>
      <c r="Y7" s="700"/>
      <c r="Z7" s="180"/>
    </row>
    <row r="8" spans="1:26" s="173" customFormat="1" ht="15.75" customHeight="1">
      <c r="A8" s="683"/>
      <c r="B8" s="812" t="s">
        <v>615</v>
      </c>
      <c r="C8" s="681"/>
      <c r="D8" s="681"/>
      <c r="E8" s="681"/>
      <c r="F8" s="681" t="s">
        <v>616</v>
      </c>
      <c r="G8" s="681"/>
      <c r="H8" s="681"/>
      <c r="I8" s="681"/>
      <c r="J8" s="681" t="s">
        <v>617</v>
      </c>
      <c r="K8" s="681"/>
      <c r="L8" s="681"/>
      <c r="M8" s="681"/>
      <c r="N8" s="700" t="s">
        <v>330</v>
      </c>
      <c r="O8" s="725"/>
      <c r="P8" s="725"/>
      <c r="Q8" s="725"/>
      <c r="R8" s="710"/>
      <c r="S8" s="699"/>
      <c r="T8" s="699"/>
      <c r="U8" s="699"/>
      <c r="V8" s="710"/>
      <c r="W8" s="699"/>
      <c r="X8" s="699"/>
      <c r="Y8" s="700"/>
      <c r="Z8" s="180"/>
    </row>
    <row r="9" spans="1:26" s="173" customFormat="1" ht="15.75" customHeight="1">
      <c r="A9" s="683" t="s">
        <v>296</v>
      </c>
      <c r="B9" s="813" t="s">
        <v>331</v>
      </c>
      <c r="C9" s="744"/>
      <c r="D9" s="744"/>
      <c r="E9" s="744"/>
      <c r="F9" s="744" t="s">
        <v>332</v>
      </c>
      <c r="G9" s="744"/>
      <c r="H9" s="744"/>
      <c r="I9" s="744"/>
      <c r="J9" s="814" t="s">
        <v>333</v>
      </c>
      <c r="K9" s="814"/>
      <c r="L9" s="814"/>
      <c r="M9" s="814"/>
      <c r="N9" s="700"/>
      <c r="O9" s="725"/>
      <c r="P9" s="725"/>
      <c r="Q9" s="725"/>
      <c r="R9" s="677"/>
      <c r="S9" s="685"/>
      <c r="T9" s="685"/>
      <c r="U9" s="685"/>
      <c r="V9" s="677"/>
      <c r="W9" s="685"/>
      <c r="X9" s="685"/>
      <c r="Y9" s="679"/>
      <c r="Z9" s="180"/>
    </row>
    <row r="10" spans="1:26" s="173" customFormat="1" ht="15.75" customHeight="1">
      <c r="A10" s="683"/>
      <c r="B10" s="727" t="s">
        <v>601</v>
      </c>
      <c r="C10" s="681" t="s">
        <v>618</v>
      </c>
      <c r="D10" s="681"/>
      <c r="E10" s="681"/>
      <c r="F10" s="681" t="s">
        <v>601</v>
      </c>
      <c r="G10" s="681" t="s">
        <v>618</v>
      </c>
      <c r="H10" s="681"/>
      <c r="I10" s="681"/>
      <c r="J10" s="681" t="s">
        <v>601</v>
      </c>
      <c r="K10" s="681" t="s">
        <v>618</v>
      </c>
      <c r="L10" s="681"/>
      <c r="M10" s="681"/>
      <c r="N10" s="692" t="s">
        <v>601</v>
      </c>
      <c r="O10" s="681" t="s">
        <v>618</v>
      </c>
      <c r="P10" s="681"/>
      <c r="Q10" s="681"/>
      <c r="R10" s="681" t="s">
        <v>601</v>
      </c>
      <c r="S10" s="681" t="s">
        <v>618</v>
      </c>
      <c r="T10" s="681"/>
      <c r="U10" s="681"/>
      <c r="V10" s="681" t="s">
        <v>601</v>
      </c>
      <c r="W10" s="681" t="s">
        <v>618</v>
      </c>
      <c r="X10" s="681"/>
      <c r="Y10" s="681"/>
      <c r="Z10" s="180"/>
    </row>
    <row r="11" spans="1:26" s="173" customFormat="1" ht="15.75" customHeight="1">
      <c r="A11" s="683"/>
      <c r="B11" s="727"/>
      <c r="C11" s="744" t="s">
        <v>334</v>
      </c>
      <c r="D11" s="744"/>
      <c r="E11" s="744"/>
      <c r="F11" s="725"/>
      <c r="G11" s="744" t="s">
        <v>334</v>
      </c>
      <c r="H11" s="744"/>
      <c r="I11" s="744"/>
      <c r="J11" s="725"/>
      <c r="K11" s="744" t="s">
        <v>334</v>
      </c>
      <c r="L11" s="744"/>
      <c r="M11" s="744"/>
      <c r="N11" s="700"/>
      <c r="O11" s="744" t="s">
        <v>334</v>
      </c>
      <c r="P11" s="744"/>
      <c r="Q11" s="744"/>
      <c r="R11" s="725"/>
      <c r="S11" s="744" t="s">
        <v>334</v>
      </c>
      <c r="T11" s="744"/>
      <c r="U11" s="744"/>
      <c r="V11" s="725"/>
      <c r="W11" s="744" t="s">
        <v>334</v>
      </c>
      <c r="X11" s="744"/>
      <c r="Y11" s="744"/>
      <c r="Z11" s="180"/>
    </row>
    <row r="12" spans="1:26" s="173" customFormat="1" ht="15.75" customHeight="1">
      <c r="A12" s="683"/>
      <c r="B12" s="817" t="s">
        <v>335</v>
      </c>
      <c r="C12" s="240" t="s">
        <v>494</v>
      </c>
      <c r="D12" s="240" t="s">
        <v>495</v>
      </c>
      <c r="E12" s="240" t="s">
        <v>496</v>
      </c>
      <c r="F12" s="815" t="s">
        <v>335</v>
      </c>
      <c r="G12" s="240" t="s">
        <v>494</v>
      </c>
      <c r="H12" s="240" t="s">
        <v>495</v>
      </c>
      <c r="I12" s="240" t="s">
        <v>496</v>
      </c>
      <c r="J12" s="815" t="s">
        <v>335</v>
      </c>
      <c r="K12" s="240" t="s">
        <v>494</v>
      </c>
      <c r="L12" s="240" t="s">
        <v>495</v>
      </c>
      <c r="M12" s="240" t="s">
        <v>496</v>
      </c>
      <c r="N12" s="819" t="s">
        <v>335</v>
      </c>
      <c r="O12" s="240" t="s">
        <v>494</v>
      </c>
      <c r="P12" s="240" t="s">
        <v>495</v>
      </c>
      <c r="Q12" s="240" t="s">
        <v>496</v>
      </c>
      <c r="R12" s="815" t="s">
        <v>335</v>
      </c>
      <c r="S12" s="240" t="s">
        <v>494</v>
      </c>
      <c r="T12" s="240" t="s">
        <v>495</v>
      </c>
      <c r="U12" s="240" t="s">
        <v>496</v>
      </c>
      <c r="V12" s="815" t="s">
        <v>335</v>
      </c>
      <c r="W12" s="240" t="s">
        <v>494</v>
      </c>
      <c r="X12" s="240" t="s">
        <v>495</v>
      </c>
      <c r="Y12" s="240" t="s">
        <v>496</v>
      </c>
      <c r="Z12" s="180"/>
    </row>
    <row r="13" spans="1:26" s="173" customFormat="1" ht="15.75" customHeight="1" thickBot="1">
      <c r="A13" s="684"/>
      <c r="B13" s="818"/>
      <c r="C13" s="243" t="s">
        <v>6</v>
      </c>
      <c r="D13" s="243" t="s">
        <v>205</v>
      </c>
      <c r="E13" s="243" t="s">
        <v>206</v>
      </c>
      <c r="F13" s="816"/>
      <c r="G13" s="243" t="s">
        <v>6</v>
      </c>
      <c r="H13" s="243" t="s">
        <v>205</v>
      </c>
      <c r="I13" s="243" t="s">
        <v>206</v>
      </c>
      <c r="J13" s="816"/>
      <c r="K13" s="243" t="s">
        <v>6</v>
      </c>
      <c r="L13" s="243" t="s">
        <v>205</v>
      </c>
      <c r="M13" s="243" t="s">
        <v>206</v>
      </c>
      <c r="N13" s="820"/>
      <c r="O13" s="243" t="s">
        <v>6</v>
      </c>
      <c r="P13" s="243" t="s">
        <v>205</v>
      </c>
      <c r="Q13" s="243" t="s">
        <v>206</v>
      </c>
      <c r="R13" s="816"/>
      <c r="S13" s="243" t="s">
        <v>6</v>
      </c>
      <c r="T13" s="243" t="s">
        <v>205</v>
      </c>
      <c r="U13" s="243" t="s">
        <v>206</v>
      </c>
      <c r="V13" s="816"/>
      <c r="W13" s="243" t="s">
        <v>6</v>
      </c>
      <c r="X13" s="243" t="s">
        <v>205</v>
      </c>
      <c r="Y13" s="243" t="s">
        <v>206</v>
      </c>
      <c r="Z13" s="180"/>
    </row>
    <row r="14" spans="1:25" ht="54.75" customHeight="1">
      <c r="A14" s="163" t="s">
        <v>605</v>
      </c>
      <c r="B14" s="77">
        <v>5</v>
      </c>
      <c r="C14" s="23">
        <f>SUM(D14:E14)</f>
        <v>140</v>
      </c>
      <c r="D14" s="25">
        <v>70</v>
      </c>
      <c r="E14" s="54">
        <v>70</v>
      </c>
      <c r="F14" s="54">
        <v>51</v>
      </c>
      <c r="G14" s="23">
        <f>H14+I14</f>
        <v>1651</v>
      </c>
      <c r="H14" s="70">
        <f>49+794</f>
        <v>843</v>
      </c>
      <c r="I14" s="23">
        <f>39+769</f>
        <v>808</v>
      </c>
      <c r="J14" s="25" t="s">
        <v>939</v>
      </c>
      <c r="K14" s="25" t="s">
        <v>939</v>
      </c>
      <c r="L14" s="25" t="s">
        <v>939</v>
      </c>
      <c r="M14" s="25" t="s">
        <v>939</v>
      </c>
      <c r="N14" s="25" t="s">
        <v>939</v>
      </c>
      <c r="O14" s="25" t="s">
        <v>939</v>
      </c>
      <c r="P14" s="25" t="s">
        <v>939</v>
      </c>
      <c r="Q14" s="25" t="s">
        <v>939</v>
      </c>
      <c r="R14" s="25" t="s">
        <v>939</v>
      </c>
      <c r="S14" s="25" t="s">
        <v>939</v>
      </c>
      <c r="T14" s="25" t="s">
        <v>939</v>
      </c>
      <c r="U14" s="25" t="s">
        <v>939</v>
      </c>
      <c r="V14" s="25" t="s">
        <v>939</v>
      </c>
      <c r="W14" s="25" t="s">
        <v>939</v>
      </c>
      <c r="X14" s="25" t="s">
        <v>939</v>
      </c>
      <c r="Y14" s="25" t="s">
        <v>939</v>
      </c>
    </row>
    <row r="15" spans="1:25" ht="54.75" customHeight="1">
      <c r="A15" s="163" t="s">
        <v>606</v>
      </c>
      <c r="B15" s="77">
        <v>5</v>
      </c>
      <c r="C15" s="23">
        <f>SUM(D15:E15)</f>
        <v>170</v>
      </c>
      <c r="D15" s="25">
        <f>32+55</f>
        <v>87</v>
      </c>
      <c r="E15" s="25">
        <f>35+48</f>
        <v>83</v>
      </c>
      <c r="F15" s="54">
        <f>7+43</f>
        <v>50</v>
      </c>
      <c r="G15" s="23">
        <f>H15+I15</f>
        <v>1739</v>
      </c>
      <c r="H15" s="25">
        <f>73+824</f>
        <v>897</v>
      </c>
      <c r="I15" s="25">
        <f>79+763</f>
        <v>842</v>
      </c>
      <c r="J15" s="25" t="s">
        <v>939</v>
      </c>
      <c r="K15" s="25" t="s">
        <v>939</v>
      </c>
      <c r="L15" s="25" t="s">
        <v>939</v>
      </c>
      <c r="M15" s="25" t="s">
        <v>939</v>
      </c>
      <c r="N15" s="25" t="s">
        <v>939</v>
      </c>
      <c r="O15" s="25" t="s">
        <v>939</v>
      </c>
      <c r="P15" s="25" t="s">
        <v>939</v>
      </c>
      <c r="Q15" s="25" t="s">
        <v>939</v>
      </c>
      <c r="R15" s="25" t="s">
        <v>939</v>
      </c>
      <c r="S15" s="25" t="s">
        <v>939</v>
      </c>
      <c r="T15" s="25" t="s">
        <v>939</v>
      </c>
      <c r="U15" s="25" t="s">
        <v>939</v>
      </c>
      <c r="V15" s="25" t="s">
        <v>939</v>
      </c>
      <c r="W15" s="25" t="s">
        <v>939</v>
      </c>
      <c r="X15" s="25" t="s">
        <v>939</v>
      </c>
      <c r="Y15" s="25" t="s">
        <v>939</v>
      </c>
    </row>
    <row r="16" spans="1:25" ht="54.75" customHeight="1">
      <c r="A16" s="163" t="s">
        <v>607</v>
      </c>
      <c r="B16" s="77">
        <v>4</v>
      </c>
      <c r="C16" s="23">
        <v>111</v>
      </c>
      <c r="D16" s="25">
        <v>57</v>
      </c>
      <c r="E16" s="25">
        <v>54</v>
      </c>
      <c r="F16" s="54">
        <v>49</v>
      </c>
      <c r="G16" s="23">
        <f>H16+I16</f>
        <v>1824</v>
      </c>
      <c r="H16" s="25">
        <f>174+748</f>
        <v>922</v>
      </c>
      <c r="I16" s="25">
        <f>161+741</f>
        <v>902</v>
      </c>
      <c r="J16" s="25" t="s">
        <v>939</v>
      </c>
      <c r="K16" s="25" t="s">
        <v>939</v>
      </c>
      <c r="L16" s="25" t="s">
        <v>939</v>
      </c>
      <c r="M16" s="25" t="s">
        <v>939</v>
      </c>
      <c r="N16" s="25" t="s">
        <v>939</v>
      </c>
      <c r="O16" s="25" t="s">
        <v>939</v>
      </c>
      <c r="P16" s="25" t="s">
        <v>939</v>
      </c>
      <c r="Q16" s="25" t="s">
        <v>939</v>
      </c>
      <c r="R16" s="25" t="s">
        <v>939</v>
      </c>
      <c r="S16" s="25" t="s">
        <v>939</v>
      </c>
      <c r="T16" s="25" t="s">
        <v>939</v>
      </c>
      <c r="U16" s="25" t="s">
        <v>939</v>
      </c>
      <c r="V16" s="25" t="s">
        <v>939</v>
      </c>
      <c r="W16" s="25" t="s">
        <v>939</v>
      </c>
      <c r="X16" s="25" t="s">
        <v>939</v>
      </c>
      <c r="Y16" s="25" t="s">
        <v>939</v>
      </c>
    </row>
    <row r="17" spans="1:25" ht="54.75" customHeight="1">
      <c r="A17" s="163" t="s">
        <v>608</v>
      </c>
      <c r="B17" s="77">
        <v>4</v>
      </c>
      <c r="C17" s="23">
        <f aca="true" t="shared" si="0" ref="C17:C23">SUM(D17:E17)</f>
        <v>97</v>
      </c>
      <c r="D17" s="25">
        <f>16+36</f>
        <v>52</v>
      </c>
      <c r="E17" s="25">
        <f>11+34</f>
        <v>45</v>
      </c>
      <c r="F17" s="25">
        <f>13+35</f>
        <v>48</v>
      </c>
      <c r="G17" s="23">
        <f>H17+I17</f>
        <v>1852</v>
      </c>
      <c r="H17" s="25">
        <f>249+721</f>
        <v>970</v>
      </c>
      <c r="I17" s="25">
        <f>238+644</f>
        <v>882</v>
      </c>
      <c r="J17" s="25" t="s">
        <v>939</v>
      </c>
      <c r="K17" s="25" t="s">
        <v>939</v>
      </c>
      <c r="L17" s="25" t="s">
        <v>939</v>
      </c>
      <c r="M17" s="25" t="s">
        <v>939</v>
      </c>
      <c r="N17" s="25" t="s">
        <v>939</v>
      </c>
      <c r="O17" s="25" t="s">
        <v>939</v>
      </c>
      <c r="P17" s="25" t="s">
        <v>939</v>
      </c>
      <c r="Q17" s="25" t="s">
        <v>939</v>
      </c>
      <c r="R17" s="25" t="s">
        <v>939</v>
      </c>
      <c r="S17" s="25" t="s">
        <v>939</v>
      </c>
      <c r="T17" s="25" t="s">
        <v>939</v>
      </c>
      <c r="U17" s="25" t="s">
        <v>939</v>
      </c>
      <c r="V17" s="25" t="s">
        <v>939</v>
      </c>
      <c r="W17" s="25" t="s">
        <v>939</v>
      </c>
      <c r="X17" s="25" t="s">
        <v>939</v>
      </c>
      <c r="Y17" s="25" t="s">
        <v>939</v>
      </c>
    </row>
    <row r="18" spans="1:25" ht="54.75" customHeight="1">
      <c r="A18" s="163" t="s">
        <v>609</v>
      </c>
      <c r="B18" s="77">
        <v>4</v>
      </c>
      <c r="C18" s="23">
        <f t="shared" si="0"/>
        <v>113</v>
      </c>
      <c r="D18" s="25">
        <f>49+15</f>
        <v>64</v>
      </c>
      <c r="E18" s="25">
        <f>37+12</f>
        <v>49</v>
      </c>
      <c r="F18" s="25">
        <v>51</v>
      </c>
      <c r="G18" s="23">
        <v>1811</v>
      </c>
      <c r="H18" s="25">
        <v>935</v>
      </c>
      <c r="I18" s="25">
        <v>876</v>
      </c>
      <c r="J18" s="25" t="s">
        <v>939</v>
      </c>
      <c r="K18" s="25" t="s">
        <v>939</v>
      </c>
      <c r="L18" s="25" t="s">
        <v>939</v>
      </c>
      <c r="M18" s="25" t="s">
        <v>939</v>
      </c>
      <c r="N18" s="25" t="s">
        <v>939</v>
      </c>
      <c r="O18" s="25" t="s">
        <v>939</v>
      </c>
      <c r="P18" s="25" t="s">
        <v>939</v>
      </c>
      <c r="Q18" s="25" t="s">
        <v>939</v>
      </c>
      <c r="R18" s="25" t="s">
        <v>939</v>
      </c>
      <c r="S18" s="25" t="s">
        <v>939</v>
      </c>
      <c r="T18" s="25" t="s">
        <v>939</v>
      </c>
      <c r="U18" s="25" t="s">
        <v>939</v>
      </c>
      <c r="V18" s="25" t="s">
        <v>939</v>
      </c>
      <c r="W18" s="25" t="s">
        <v>939</v>
      </c>
      <c r="X18" s="25" t="s">
        <v>939</v>
      </c>
      <c r="Y18" s="25" t="s">
        <v>939</v>
      </c>
    </row>
    <row r="19" spans="1:25" ht="54.75" customHeight="1">
      <c r="A19" s="163" t="s">
        <v>610</v>
      </c>
      <c r="B19" s="25">
        <v>4</v>
      </c>
      <c r="C19" s="23">
        <f t="shared" si="0"/>
        <v>126</v>
      </c>
      <c r="D19" s="25">
        <v>63</v>
      </c>
      <c r="E19" s="25">
        <v>63</v>
      </c>
      <c r="F19" s="23">
        <v>49</v>
      </c>
      <c r="G19" s="23">
        <f>H19+I19</f>
        <v>1825</v>
      </c>
      <c r="H19" s="25">
        <f>933+19</f>
        <v>952</v>
      </c>
      <c r="I19" s="25">
        <f>856+17</f>
        <v>873</v>
      </c>
      <c r="J19" s="25" t="s">
        <v>939</v>
      </c>
      <c r="K19" s="25" t="s">
        <v>939</v>
      </c>
      <c r="L19" s="25" t="s">
        <v>939</v>
      </c>
      <c r="M19" s="25" t="s">
        <v>939</v>
      </c>
      <c r="N19" s="25" t="s">
        <v>939</v>
      </c>
      <c r="O19" s="25" t="s">
        <v>939</v>
      </c>
      <c r="P19" s="25" t="s">
        <v>939</v>
      </c>
      <c r="Q19" s="25" t="s">
        <v>939</v>
      </c>
      <c r="R19" s="25" t="s">
        <v>939</v>
      </c>
      <c r="S19" s="25" t="s">
        <v>939</v>
      </c>
      <c r="T19" s="25" t="s">
        <v>939</v>
      </c>
      <c r="U19" s="25" t="s">
        <v>939</v>
      </c>
      <c r="V19" s="25" t="s">
        <v>939</v>
      </c>
      <c r="W19" s="25" t="s">
        <v>939</v>
      </c>
      <c r="X19" s="25" t="s">
        <v>939</v>
      </c>
      <c r="Y19" s="25" t="s">
        <v>939</v>
      </c>
    </row>
    <row r="20" spans="1:25" s="14" customFormat="1" ht="54.75" customHeight="1">
      <c r="A20" s="163" t="s">
        <v>611</v>
      </c>
      <c r="B20" s="23">
        <v>4</v>
      </c>
      <c r="C20" s="23">
        <f t="shared" si="0"/>
        <v>115</v>
      </c>
      <c r="D20" s="23">
        <v>53</v>
      </c>
      <c r="E20" s="23">
        <v>62</v>
      </c>
      <c r="F20" s="23">
        <v>53</v>
      </c>
      <c r="G20" s="23">
        <f>H20+I20</f>
        <v>1955</v>
      </c>
      <c r="H20" s="23">
        <v>946</v>
      </c>
      <c r="I20" s="23">
        <v>1009</v>
      </c>
      <c r="J20" s="23" t="s">
        <v>939</v>
      </c>
      <c r="K20" s="23" t="s">
        <v>939</v>
      </c>
      <c r="L20" s="23" t="s">
        <v>939</v>
      </c>
      <c r="M20" s="23" t="s">
        <v>939</v>
      </c>
      <c r="N20" s="23" t="s">
        <v>939</v>
      </c>
      <c r="O20" s="23" t="s">
        <v>939</v>
      </c>
      <c r="P20" s="23" t="s">
        <v>939</v>
      </c>
      <c r="Q20" s="23" t="s">
        <v>939</v>
      </c>
      <c r="R20" s="23" t="s">
        <v>939</v>
      </c>
      <c r="S20" s="23" t="s">
        <v>939</v>
      </c>
      <c r="T20" s="23" t="s">
        <v>939</v>
      </c>
      <c r="U20" s="23" t="s">
        <v>939</v>
      </c>
      <c r="V20" s="23" t="s">
        <v>939</v>
      </c>
      <c r="W20" s="23" t="s">
        <v>939</v>
      </c>
      <c r="X20" s="23" t="s">
        <v>939</v>
      </c>
      <c r="Y20" s="23" t="s">
        <v>939</v>
      </c>
    </row>
    <row r="21" spans="1:25" ht="54.75" customHeight="1">
      <c r="A21" s="163" t="s">
        <v>538</v>
      </c>
      <c r="B21" s="21">
        <v>4</v>
      </c>
      <c r="C21" s="23">
        <f t="shared" si="0"/>
        <v>119</v>
      </c>
      <c r="D21" s="23">
        <v>51</v>
      </c>
      <c r="E21" s="23">
        <v>68</v>
      </c>
      <c r="F21" s="23">
        <v>56</v>
      </c>
      <c r="G21" s="23">
        <v>2012</v>
      </c>
      <c r="H21" s="23">
        <v>964</v>
      </c>
      <c r="I21" s="23">
        <v>1048</v>
      </c>
      <c r="J21" s="23" t="s">
        <v>939</v>
      </c>
      <c r="K21" s="23" t="s">
        <v>939</v>
      </c>
      <c r="L21" s="23" t="s">
        <v>939</v>
      </c>
      <c r="M21" s="23" t="s">
        <v>939</v>
      </c>
      <c r="N21" s="23" t="s">
        <v>939</v>
      </c>
      <c r="O21" s="23" t="s">
        <v>939</v>
      </c>
      <c r="P21" s="23" t="s">
        <v>939</v>
      </c>
      <c r="Q21" s="23" t="s">
        <v>939</v>
      </c>
      <c r="R21" s="23" t="s">
        <v>939</v>
      </c>
      <c r="S21" s="23" t="s">
        <v>939</v>
      </c>
      <c r="T21" s="23" t="s">
        <v>939</v>
      </c>
      <c r="U21" s="23" t="s">
        <v>939</v>
      </c>
      <c r="V21" s="23" t="s">
        <v>939</v>
      </c>
      <c r="W21" s="23" t="s">
        <v>939</v>
      </c>
      <c r="X21" s="23" t="s">
        <v>939</v>
      </c>
      <c r="Y21" s="23" t="s">
        <v>939</v>
      </c>
    </row>
    <row r="22" spans="1:25" s="14" customFormat="1" ht="54.75" customHeight="1">
      <c r="A22" s="163" t="s">
        <v>935</v>
      </c>
      <c r="B22" s="77">
        <v>3</v>
      </c>
      <c r="C22" s="23">
        <f t="shared" si="0"/>
        <v>95</v>
      </c>
      <c r="D22" s="25">
        <v>45</v>
      </c>
      <c r="E22" s="54">
        <v>50</v>
      </c>
      <c r="F22" s="54">
        <v>60</v>
      </c>
      <c r="G22" s="23">
        <f>H22+I22</f>
        <v>2214</v>
      </c>
      <c r="H22" s="54">
        <v>1051</v>
      </c>
      <c r="I22" s="25">
        <v>1163</v>
      </c>
      <c r="J22" s="25" t="s">
        <v>939</v>
      </c>
      <c r="K22" s="25" t="s">
        <v>939</v>
      </c>
      <c r="L22" s="25" t="s">
        <v>939</v>
      </c>
      <c r="M22" s="25" t="s">
        <v>939</v>
      </c>
      <c r="N22" s="25" t="s">
        <v>939</v>
      </c>
      <c r="O22" s="25" t="s">
        <v>939</v>
      </c>
      <c r="P22" s="25" t="s">
        <v>939</v>
      </c>
      <c r="Q22" s="25" t="s">
        <v>82</v>
      </c>
      <c r="R22" s="25" t="s">
        <v>939</v>
      </c>
      <c r="S22" s="25" t="s">
        <v>939</v>
      </c>
      <c r="T22" s="25" t="s">
        <v>939</v>
      </c>
      <c r="U22" s="25" t="s">
        <v>939</v>
      </c>
      <c r="V22" s="25" t="s">
        <v>939</v>
      </c>
      <c r="W22" s="25" t="s">
        <v>939</v>
      </c>
      <c r="X22" s="25" t="s">
        <v>939</v>
      </c>
      <c r="Y22" s="25" t="s">
        <v>939</v>
      </c>
    </row>
    <row r="23" spans="1:25" s="14" customFormat="1" ht="54.75" customHeight="1" thickBot="1">
      <c r="A23" s="412" t="s">
        <v>1206</v>
      </c>
      <c r="B23" s="28">
        <v>3</v>
      </c>
      <c r="C23" s="29">
        <f t="shared" si="0"/>
        <v>100</v>
      </c>
      <c r="D23" s="28">
        <v>46</v>
      </c>
      <c r="E23" s="63">
        <v>54</v>
      </c>
      <c r="F23" s="63">
        <v>63</v>
      </c>
      <c r="G23" s="29">
        <f>H23+I23</f>
        <v>2323</v>
      </c>
      <c r="H23" s="75">
        <v>1080</v>
      </c>
      <c r="I23" s="28">
        <v>1243</v>
      </c>
      <c r="J23" s="28" t="s">
        <v>82</v>
      </c>
      <c r="K23" s="28" t="s">
        <v>82</v>
      </c>
      <c r="L23" s="28" t="s">
        <v>82</v>
      </c>
      <c r="M23" s="28" t="s">
        <v>82</v>
      </c>
      <c r="N23" s="28" t="s">
        <v>82</v>
      </c>
      <c r="O23" s="28" t="s">
        <v>82</v>
      </c>
      <c r="P23" s="28" t="s">
        <v>82</v>
      </c>
      <c r="Q23" s="28" t="s">
        <v>82</v>
      </c>
      <c r="R23" s="28" t="s">
        <v>82</v>
      </c>
      <c r="S23" s="28" t="s">
        <v>82</v>
      </c>
      <c r="T23" s="28" t="s">
        <v>82</v>
      </c>
      <c r="U23" s="28" t="s">
        <v>82</v>
      </c>
      <c r="V23" s="28" t="s">
        <v>82</v>
      </c>
      <c r="W23" s="28" t="s">
        <v>82</v>
      </c>
      <c r="X23" s="28" t="s">
        <v>82</v>
      </c>
      <c r="Y23" s="28" t="s">
        <v>82</v>
      </c>
    </row>
    <row r="24" spans="1:15" s="158" customFormat="1" ht="15" customHeight="1">
      <c r="A24" s="174" t="s">
        <v>1080</v>
      </c>
      <c r="B24" s="176"/>
      <c r="C24" s="176"/>
      <c r="D24" s="176"/>
      <c r="G24" s="176"/>
      <c r="H24" s="176"/>
      <c r="J24" s="176"/>
      <c r="K24" s="176"/>
      <c r="L24" s="176"/>
      <c r="M24" s="176"/>
      <c r="N24" s="247" t="s">
        <v>940</v>
      </c>
      <c r="O24" s="176"/>
    </row>
    <row r="25" spans="1:14" s="158" customFormat="1" ht="15" customHeight="1">
      <c r="A25" s="178"/>
      <c r="N25" s="178"/>
    </row>
    <row r="26" s="158" customFormat="1" ht="15" customHeight="1">
      <c r="N26" s="178"/>
    </row>
    <row r="27" s="158" customFormat="1" ht="12.75"/>
    <row r="28" s="158" customFormat="1" ht="12.75"/>
    <row r="29" s="158" customFormat="1" ht="12.75"/>
    <row r="30" s="158" customFormat="1" ht="12.75"/>
    <row r="31" s="158" customFormat="1" ht="12.75"/>
    <row r="32" s="158" customFormat="1" ht="12.75"/>
    <row r="33" s="158" customFormat="1" ht="12.75"/>
    <row r="34" s="158" customFormat="1" ht="12.75"/>
    <row r="35" s="158" customFormat="1" ht="12.75"/>
    <row r="36" s="158" customFormat="1" ht="12.75"/>
    <row r="37" s="158" customFormat="1" ht="12.75"/>
    <row r="38" s="158" customFormat="1" ht="12.75"/>
    <row r="39" s="158" customFormat="1" ht="12.75"/>
    <row r="40" s="158" customFormat="1" ht="12.75"/>
    <row r="41" s="158" customFormat="1" ht="12.75"/>
    <row r="42" s="158" customFormat="1" ht="12.75"/>
    <row r="43" s="158" customFormat="1" ht="12.75"/>
    <row r="44" s="158" customFormat="1" ht="12.75"/>
    <row r="45" s="158" customFormat="1" ht="12.75"/>
    <row r="46" s="158" customFormat="1" ht="12.75"/>
    <row r="47" s="158" customFormat="1" ht="12.75"/>
    <row r="48" s="158" customFormat="1" ht="12.75"/>
    <row r="49" s="158" customFormat="1" ht="12.75"/>
    <row r="50" s="158" customFormat="1" ht="12.75"/>
    <row r="51" s="158" customFormat="1" ht="12.75"/>
    <row r="52" s="158" customFormat="1" ht="12.75"/>
  </sheetData>
  <sheetProtection/>
  <mergeCells count="45">
    <mergeCell ref="V12:V13"/>
    <mergeCell ref="C11:E11"/>
    <mergeCell ref="J10:J11"/>
    <mergeCell ref="K10:M10"/>
    <mergeCell ref="B12:B13"/>
    <mergeCell ref="F12:F13"/>
    <mergeCell ref="J12:J13"/>
    <mergeCell ref="N12:N13"/>
    <mergeCell ref="R12:R13"/>
    <mergeCell ref="K11:M11"/>
    <mergeCell ref="O11:Q11"/>
    <mergeCell ref="S11:U11"/>
    <mergeCell ref="W11:Y11"/>
    <mergeCell ref="N10:N11"/>
    <mergeCell ref="O10:Q10"/>
    <mergeCell ref="R10:R11"/>
    <mergeCell ref="S10:U10"/>
    <mergeCell ref="V10:V11"/>
    <mergeCell ref="W10:Y10"/>
    <mergeCell ref="B6:M6"/>
    <mergeCell ref="N6:Q7"/>
    <mergeCell ref="A9:A13"/>
    <mergeCell ref="B9:E9"/>
    <mergeCell ref="F9:I9"/>
    <mergeCell ref="J9:M9"/>
    <mergeCell ref="B10:B11"/>
    <mergeCell ref="C10:E10"/>
    <mergeCell ref="F10:F11"/>
    <mergeCell ref="G10:I10"/>
    <mergeCell ref="R7:U9"/>
    <mergeCell ref="V7:Y9"/>
    <mergeCell ref="B8:E8"/>
    <mergeCell ref="F8:I8"/>
    <mergeCell ref="J8:M8"/>
    <mergeCell ref="N8:Q9"/>
    <mergeCell ref="G11:I11"/>
    <mergeCell ref="X1:Y1"/>
    <mergeCell ref="A2:M2"/>
    <mergeCell ref="N2:Y2"/>
    <mergeCell ref="A4:A8"/>
    <mergeCell ref="B4:Q4"/>
    <mergeCell ref="R4:U6"/>
    <mergeCell ref="V4:Y6"/>
    <mergeCell ref="B5:Q5"/>
    <mergeCell ref="B7:M7"/>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colBreaks count="1" manualBreakCount="1">
    <brk id="13" max="65535" man="1"/>
  </colBreaks>
  <legacyDrawing r:id="rId2"/>
</worksheet>
</file>

<file path=xl/worksheets/sheet22.xml><?xml version="1.0" encoding="utf-8"?>
<worksheet xmlns="http://schemas.openxmlformats.org/spreadsheetml/2006/main" xmlns:r="http://schemas.openxmlformats.org/officeDocument/2006/relationships">
  <dimension ref="A1:R27"/>
  <sheetViews>
    <sheetView showGridLines="0" view="pageBreakPreview" zoomScale="55" zoomScaleNormal="120" zoomScaleSheetLayoutView="5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6.5"/>
  <cols>
    <col min="1" max="1" width="9.625" style="158" customWidth="1"/>
    <col min="2" max="2" width="8.625" style="11" customWidth="1"/>
    <col min="3" max="3" width="16.875" style="11" customWidth="1"/>
    <col min="4" max="4" width="17.25390625" style="11" customWidth="1"/>
    <col min="5" max="5" width="17.125" style="11" customWidth="1"/>
    <col min="6" max="6" width="17.25390625" style="11" customWidth="1"/>
    <col min="7" max="10" width="12.375" style="11" customWidth="1"/>
    <col min="11" max="11" width="12.375" style="44" customWidth="1"/>
    <col min="12" max="13" width="12.625" style="11" customWidth="1"/>
    <col min="14" max="16384" width="9.00390625" style="11" customWidth="1"/>
  </cols>
  <sheetData>
    <row r="1" spans="1:13" s="158" customFormat="1" ht="18" customHeight="1">
      <c r="A1" s="210" t="s">
        <v>1077</v>
      </c>
      <c r="K1" s="218"/>
      <c r="L1" s="717" t="s">
        <v>941</v>
      </c>
      <c r="M1" s="717"/>
    </row>
    <row r="2" spans="1:18" s="158" customFormat="1" ht="24.75" customHeight="1">
      <c r="A2" s="716" t="s">
        <v>1115</v>
      </c>
      <c r="B2" s="716"/>
      <c r="C2" s="716"/>
      <c r="D2" s="716"/>
      <c r="E2" s="716"/>
      <c r="F2" s="716"/>
      <c r="G2" s="716" t="s">
        <v>942</v>
      </c>
      <c r="H2" s="716"/>
      <c r="I2" s="716"/>
      <c r="J2" s="716"/>
      <c r="K2" s="716"/>
      <c r="L2" s="716"/>
      <c r="M2" s="716"/>
      <c r="N2" s="248"/>
      <c r="O2" s="248"/>
      <c r="P2" s="248"/>
      <c r="Q2" s="248"/>
      <c r="R2" s="248"/>
    </row>
    <row r="3" spans="1:13" s="158" customFormat="1" ht="15" customHeight="1" thickBot="1">
      <c r="A3" s="179"/>
      <c r="F3" s="176" t="s">
        <v>1116</v>
      </c>
      <c r="H3" s="159"/>
      <c r="K3" s="218"/>
      <c r="M3" s="159" t="s">
        <v>943</v>
      </c>
    </row>
    <row r="4" spans="1:13" s="173" customFormat="1" ht="21.75" customHeight="1">
      <c r="A4" s="688" t="s">
        <v>590</v>
      </c>
      <c r="B4" s="689" t="s">
        <v>944</v>
      </c>
      <c r="C4" s="690"/>
      <c r="D4" s="690"/>
      <c r="E4" s="690"/>
      <c r="F4" s="691"/>
      <c r="G4" s="691" t="s">
        <v>945</v>
      </c>
      <c r="H4" s="743"/>
      <c r="I4" s="743"/>
      <c r="J4" s="743" t="s">
        <v>946</v>
      </c>
      <c r="K4" s="743"/>
      <c r="L4" s="743" t="s">
        <v>947</v>
      </c>
      <c r="M4" s="709"/>
    </row>
    <row r="5" spans="1:13" s="173" customFormat="1" ht="21.75" customHeight="1">
      <c r="A5" s="683"/>
      <c r="B5" s="723" t="s">
        <v>948</v>
      </c>
      <c r="C5" s="685"/>
      <c r="D5" s="685"/>
      <c r="E5" s="685"/>
      <c r="F5" s="679"/>
      <c r="G5" s="679" t="s">
        <v>949</v>
      </c>
      <c r="H5" s="744"/>
      <c r="I5" s="744"/>
      <c r="J5" s="744" t="s">
        <v>950</v>
      </c>
      <c r="K5" s="744"/>
      <c r="L5" s="744" t="s">
        <v>951</v>
      </c>
      <c r="M5" s="677"/>
    </row>
    <row r="6" spans="1:13" s="173" customFormat="1" ht="43.5" customHeight="1">
      <c r="A6" s="683"/>
      <c r="B6" s="164" t="s">
        <v>494</v>
      </c>
      <c r="C6" s="156" t="s">
        <v>952</v>
      </c>
      <c r="D6" s="156" t="s">
        <v>953</v>
      </c>
      <c r="E6" s="249" t="s">
        <v>954</v>
      </c>
      <c r="F6" s="165" t="s">
        <v>955</v>
      </c>
      <c r="G6" s="165" t="s">
        <v>956</v>
      </c>
      <c r="H6" s="156" t="s">
        <v>957</v>
      </c>
      <c r="I6" s="156" t="s">
        <v>1117</v>
      </c>
      <c r="J6" s="156" t="s">
        <v>1118</v>
      </c>
      <c r="K6" s="183" t="s">
        <v>559</v>
      </c>
      <c r="L6" s="156" t="s">
        <v>1118</v>
      </c>
      <c r="M6" s="250" t="s">
        <v>559</v>
      </c>
    </row>
    <row r="7" spans="1:13" s="173" customFormat="1" ht="63.75" customHeight="1" thickBot="1">
      <c r="A7" s="166" t="s">
        <v>958</v>
      </c>
      <c r="B7" s="242" t="s">
        <v>959</v>
      </c>
      <c r="C7" s="243" t="s">
        <v>960</v>
      </c>
      <c r="D7" s="243" t="s">
        <v>961</v>
      </c>
      <c r="E7" s="251" t="s">
        <v>962</v>
      </c>
      <c r="F7" s="245" t="s">
        <v>963</v>
      </c>
      <c r="G7" s="245" t="s">
        <v>964</v>
      </c>
      <c r="H7" s="243" t="s">
        <v>965</v>
      </c>
      <c r="I7" s="243" t="s">
        <v>966</v>
      </c>
      <c r="J7" s="243" t="s">
        <v>967</v>
      </c>
      <c r="K7" s="252" t="s">
        <v>968</v>
      </c>
      <c r="L7" s="243" t="s">
        <v>967</v>
      </c>
      <c r="M7" s="246" t="s">
        <v>968</v>
      </c>
    </row>
    <row r="8" spans="1:13" ht="54.75" customHeight="1">
      <c r="A8" s="163" t="s">
        <v>605</v>
      </c>
      <c r="B8" s="25">
        <f aca="true" t="shared" si="0" ref="B8:B16">SUM(C8:F8)</f>
        <v>241</v>
      </c>
      <c r="C8" s="22">
        <v>2</v>
      </c>
      <c r="D8" s="22">
        <v>14</v>
      </c>
      <c r="E8" s="22">
        <v>107</v>
      </c>
      <c r="F8" s="22">
        <v>118</v>
      </c>
      <c r="G8" s="22">
        <v>2</v>
      </c>
      <c r="H8" s="22">
        <v>119</v>
      </c>
      <c r="I8" s="22">
        <v>5803</v>
      </c>
      <c r="J8" s="22">
        <v>1111</v>
      </c>
      <c r="K8" s="69">
        <v>520542</v>
      </c>
      <c r="L8" s="22">
        <v>446</v>
      </c>
      <c r="M8" s="22">
        <f>115951+161879</f>
        <v>277830</v>
      </c>
    </row>
    <row r="9" spans="1:13" ht="54.75" customHeight="1">
      <c r="A9" s="163" t="s">
        <v>606</v>
      </c>
      <c r="B9" s="25">
        <f t="shared" si="0"/>
        <v>165</v>
      </c>
      <c r="C9" s="22">
        <v>2</v>
      </c>
      <c r="D9" s="22">
        <v>13</v>
      </c>
      <c r="E9" s="22">
        <v>113</v>
      </c>
      <c r="F9" s="22">
        <v>37</v>
      </c>
      <c r="G9" s="22">
        <v>2</v>
      </c>
      <c r="H9" s="22">
        <v>156</v>
      </c>
      <c r="I9" s="22">
        <v>4490</v>
      </c>
      <c r="J9" s="22">
        <v>911</v>
      </c>
      <c r="K9" s="69">
        <f>67377+55659</f>
        <v>123036</v>
      </c>
      <c r="L9" s="22">
        <v>234</v>
      </c>
      <c r="M9" s="22">
        <f>39094+69652</f>
        <v>108746</v>
      </c>
    </row>
    <row r="10" spans="1:13" ht="54.75" customHeight="1">
      <c r="A10" s="163" t="s">
        <v>607</v>
      </c>
      <c r="B10" s="25">
        <f t="shared" si="0"/>
        <v>182</v>
      </c>
      <c r="C10" s="22">
        <v>2</v>
      </c>
      <c r="D10" s="22">
        <v>16</v>
      </c>
      <c r="E10" s="22">
        <v>126</v>
      </c>
      <c r="F10" s="22">
        <v>38</v>
      </c>
      <c r="G10" s="22">
        <v>10</v>
      </c>
      <c r="H10" s="22">
        <v>203</v>
      </c>
      <c r="I10" s="22">
        <v>5982</v>
      </c>
      <c r="J10" s="22">
        <v>1266</v>
      </c>
      <c r="K10" s="69">
        <f>102690+67229</f>
        <v>169919</v>
      </c>
      <c r="L10" s="22">
        <v>273</v>
      </c>
      <c r="M10" s="22">
        <f>44978+49523</f>
        <v>94501</v>
      </c>
    </row>
    <row r="11" spans="1:13" ht="54.75" customHeight="1">
      <c r="A11" s="163" t="s">
        <v>608</v>
      </c>
      <c r="B11" s="25">
        <f t="shared" si="0"/>
        <v>174</v>
      </c>
      <c r="C11" s="22">
        <v>2</v>
      </c>
      <c r="D11" s="22">
        <v>14</v>
      </c>
      <c r="E11" s="22">
        <v>126</v>
      </c>
      <c r="F11" s="22">
        <v>32</v>
      </c>
      <c r="G11" s="22">
        <v>2</v>
      </c>
      <c r="H11" s="22">
        <v>176</v>
      </c>
      <c r="I11" s="22">
        <v>5508</v>
      </c>
      <c r="J11" s="22">
        <f>1537</f>
        <v>1537</v>
      </c>
      <c r="K11" s="69">
        <f>130374+112532</f>
        <v>242906</v>
      </c>
      <c r="L11" s="22">
        <v>309</v>
      </c>
      <c r="M11" s="22">
        <f>63463+14213</f>
        <v>77676</v>
      </c>
    </row>
    <row r="12" spans="1:13" ht="54.75" customHeight="1">
      <c r="A12" s="163" t="s">
        <v>609</v>
      </c>
      <c r="B12" s="25">
        <f t="shared" si="0"/>
        <v>146</v>
      </c>
      <c r="C12" s="22">
        <v>2</v>
      </c>
      <c r="D12" s="22">
        <v>14</v>
      </c>
      <c r="E12" s="22">
        <v>98</v>
      </c>
      <c r="F12" s="22">
        <v>32</v>
      </c>
      <c r="G12" s="22">
        <v>3</v>
      </c>
      <c r="H12" s="22">
        <v>127</v>
      </c>
      <c r="I12" s="22">
        <v>4450</v>
      </c>
      <c r="J12" s="22">
        <v>1750</v>
      </c>
      <c r="K12" s="69">
        <f>152792+137908</f>
        <v>290700</v>
      </c>
      <c r="L12" s="22">
        <v>314</v>
      </c>
      <c r="M12" s="22">
        <f>53235+50295</f>
        <v>103530</v>
      </c>
    </row>
    <row r="13" spans="1:13" ht="54.75" customHeight="1">
      <c r="A13" s="163" t="s">
        <v>610</v>
      </c>
      <c r="B13" s="25">
        <f t="shared" si="0"/>
        <v>141</v>
      </c>
      <c r="C13" s="25">
        <v>2</v>
      </c>
      <c r="D13" s="25">
        <v>14</v>
      </c>
      <c r="E13" s="25">
        <v>93</v>
      </c>
      <c r="F13" s="25">
        <v>32</v>
      </c>
      <c r="G13" s="25">
        <v>16</v>
      </c>
      <c r="H13" s="25">
        <v>344</v>
      </c>
      <c r="I13" s="25">
        <v>11231</v>
      </c>
      <c r="J13" s="25">
        <v>1981</v>
      </c>
      <c r="K13" s="23">
        <v>326381</v>
      </c>
      <c r="L13" s="23">
        <v>320</v>
      </c>
      <c r="M13" s="25">
        <v>106121</v>
      </c>
    </row>
    <row r="14" spans="1:15" ht="54.75" customHeight="1">
      <c r="A14" s="163" t="s">
        <v>611</v>
      </c>
      <c r="B14" s="25">
        <f t="shared" si="0"/>
        <v>124</v>
      </c>
      <c r="C14" s="23">
        <v>2</v>
      </c>
      <c r="D14" s="23">
        <v>12</v>
      </c>
      <c r="E14" s="23">
        <v>72</v>
      </c>
      <c r="F14" s="23">
        <v>38</v>
      </c>
      <c r="G14" s="23">
        <v>14</v>
      </c>
      <c r="H14" s="23" t="s">
        <v>969</v>
      </c>
      <c r="I14" s="23" t="s">
        <v>969</v>
      </c>
      <c r="J14" s="23">
        <v>2145</v>
      </c>
      <c r="K14" s="23">
        <v>365187</v>
      </c>
      <c r="L14" s="23">
        <v>335</v>
      </c>
      <c r="M14" s="23">
        <v>111398</v>
      </c>
      <c r="O14" s="138"/>
    </row>
    <row r="15" spans="1:13" ht="54.75" customHeight="1">
      <c r="A15" s="163" t="s">
        <v>538</v>
      </c>
      <c r="B15" s="77">
        <f t="shared" si="0"/>
        <v>121</v>
      </c>
      <c r="C15" s="25">
        <v>2</v>
      </c>
      <c r="D15" s="25">
        <v>12</v>
      </c>
      <c r="E15" s="25">
        <v>69</v>
      </c>
      <c r="F15" s="25">
        <v>38</v>
      </c>
      <c r="G15" s="25">
        <v>12</v>
      </c>
      <c r="H15" s="25">
        <v>278</v>
      </c>
      <c r="I15" s="25">
        <v>14492</v>
      </c>
      <c r="J15" s="25">
        <v>2307</v>
      </c>
      <c r="K15" s="25">
        <v>387513</v>
      </c>
      <c r="L15" s="25">
        <v>376</v>
      </c>
      <c r="M15" s="25">
        <v>121324</v>
      </c>
    </row>
    <row r="16" spans="1:13" s="14" customFormat="1" ht="54.75" customHeight="1">
      <c r="A16" s="163" t="s">
        <v>935</v>
      </c>
      <c r="B16" s="77">
        <f t="shared" si="0"/>
        <v>96</v>
      </c>
      <c r="C16" s="25">
        <v>2</v>
      </c>
      <c r="D16" s="25">
        <v>14</v>
      </c>
      <c r="E16" s="25">
        <v>40</v>
      </c>
      <c r="F16" s="25">
        <v>40</v>
      </c>
      <c r="G16" s="25">
        <v>17</v>
      </c>
      <c r="H16" s="25">
        <v>472</v>
      </c>
      <c r="I16" s="25">
        <v>12758</v>
      </c>
      <c r="J16" s="23">
        <v>2502</v>
      </c>
      <c r="K16" s="23">
        <v>424465</v>
      </c>
      <c r="L16" s="23">
        <v>339</v>
      </c>
      <c r="M16" s="23">
        <v>170867</v>
      </c>
    </row>
    <row r="17" spans="1:13" s="14" customFormat="1" ht="54.75" customHeight="1" thickBot="1">
      <c r="A17" s="412" t="s">
        <v>1206</v>
      </c>
      <c r="B17" s="78">
        <f>SUM(C17:F17)</f>
        <v>95</v>
      </c>
      <c r="C17" s="28">
        <v>2</v>
      </c>
      <c r="D17" s="28">
        <v>14</v>
      </c>
      <c r="E17" s="28">
        <v>39</v>
      </c>
      <c r="F17" s="28">
        <v>40</v>
      </c>
      <c r="G17" s="28">
        <v>18</v>
      </c>
      <c r="H17" s="28">
        <v>664</v>
      </c>
      <c r="I17" s="28">
        <v>15891</v>
      </c>
      <c r="J17" s="28">
        <v>2947</v>
      </c>
      <c r="K17" s="29">
        <v>472767</v>
      </c>
      <c r="L17" s="28">
        <v>314</v>
      </c>
      <c r="M17" s="28">
        <v>115591</v>
      </c>
    </row>
    <row r="18" spans="1:11" s="158" customFormat="1" ht="15" customHeight="1">
      <c r="A18" s="178" t="s">
        <v>1256</v>
      </c>
      <c r="G18" s="178" t="s">
        <v>1257</v>
      </c>
      <c r="K18" s="218"/>
    </row>
    <row r="19" spans="7:11" s="158" customFormat="1" ht="15" customHeight="1">
      <c r="G19" s="178" t="s">
        <v>1324</v>
      </c>
      <c r="K19" s="218"/>
    </row>
    <row r="20" spans="1:11" s="158" customFormat="1" ht="15" customHeight="1">
      <c r="A20" s="174"/>
      <c r="K20" s="218"/>
    </row>
    <row r="21" spans="5:13" s="158" customFormat="1" ht="15" customHeight="1">
      <c r="E21" s="179"/>
      <c r="F21" s="179"/>
      <c r="G21" s="179"/>
      <c r="H21" s="179"/>
      <c r="I21" s="179"/>
      <c r="J21" s="179"/>
      <c r="K21" s="253"/>
      <c r="L21" s="179"/>
      <c r="M21" s="179"/>
    </row>
    <row r="22" spans="5:13" s="158" customFormat="1" ht="12.75">
      <c r="E22" s="179"/>
      <c r="F22" s="179"/>
      <c r="G22" s="179"/>
      <c r="H22" s="179"/>
      <c r="I22" s="179"/>
      <c r="J22" s="179"/>
      <c r="K22" s="253"/>
      <c r="L22" s="179"/>
      <c r="M22" s="179"/>
    </row>
    <row r="23" s="158" customFormat="1" ht="12.75">
      <c r="K23" s="218"/>
    </row>
    <row r="24" s="158" customFormat="1" ht="12.75">
      <c r="K24" s="218"/>
    </row>
    <row r="25" s="158" customFormat="1" ht="12.75">
      <c r="K25" s="218"/>
    </row>
    <row r="26" s="158" customFormat="1" ht="12.75">
      <c r="K26" s="218"/>
    </row>
    <row r="27" s="158" customFormat="1" ht="12.75">
      <c r="K27" s="218"/>
    </row>
  </sheetData>
  <sheetProtection/>
  <mergeCells count="12">
    <mergeCell ref="J5:K5"/>
    <mergeCell ref="L5:M5"/>
    <mergeCell ref="L1:M1"/>
    <mergeCell ref="A2:F2"/>
    <mergeCell ref="G2:M2"/>
    <mergeCell ref="A4:A6"/>
    <mergeCell ref="B4:F4"/>
    <mergeCell ref="G4:I4"/>
    <mergeCell ref="J4:K4"/>
    <mergeCell ref="L4:M4"/>
    <mergeCell ref="B5:F5"/>
    <mergeCell ref="G5:I5"/>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colBreaks count="1" manualBreakCount="1">
    <brk id="6" max="65535" man="1"/>
  </colBreaks>
</worksheet>
</file>

<file path=xl/worksheets/sheet23.xml><?xml version="1.0" encoding="utf-8"?>
<worksheet xmlns="http://schemas.openxmlformats.org/spreadsheetml/2006/main" xmlns:r="http://schemas.openxmlformats.org/officeDocument/2006/relationships">
  <dimension ref="A1:Z24"/>
  <sheetViews>
    <sheetView showGridLines="0" view="pageBreakPreview" zoomScale="55" zoomScaleNormal="120" zoomScaleSheetLayoutView="55" zoomScalePageLayoutView="0" workbookViewId="0" topLeftCell="A1">
      <pane xSplit="1" ySplit="11" topLeftCell="B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6.5"/>
  <cols>
    <col min="1" max="1" width="8.75390625" style="158" customWidth="1"/>
    <col min="2" max="2" width="7.50390625" style="11" customWidth="1"/>
    <col min="3" max="5" width="6.375" style="11" customWidth="1"/>
    <col min="6" max="6" width="7.375" style="11" customWidth="1"/>
    <col min="7" max="9" width="6.25390625" style="11" customWidth="1"/>
    <col min="10" max="10" width="7.375" style="11" customWidth="1"/>
    <col min="11" max="13" width="6.25390625" style="11" customWidth="1"/>
    <col min="14" max="14" width="10.375" style="11" customWidth="1"/>
    <col min="15" max="24" width="7.75390625" style="11" customWidth="1"/>
    <col min="25" max="25" width="9.00390625" style="11" customWidth="1"/>
    <col min="26" max="26" width="0" style="11" hidden="1" customWidth="1"/>
    <col min="27" max="16384" width="9.00390625" style="11" customWidth="1"/>
  </cols>
  <sheetData>
    <row r="1" spans="1:25" s="158" customFormat="1" ht="18" customHeight="1">
      <c r="A1" s="210" t="s">
        <v>1077</v>
      </c>
      <c r="X1" s="159" t="s">
        <v>0</v>
      </c>
      <c r="Y1" s="174"/>
    </row>
    <row r="2" spans="1:24" s="158" customFormat="1" ht="24.75" customHeight="1">
      <c r="A2" s="716" t="s">
        <v>1110</v>
      </c>
      <c r="B2" s="716"/>
      <c r="C2" s="716"/>
      <c r="D2" s="716"/>
      <c r="E2" s="716"/>
      <c r="F2" s="716"/>
      <c r="G2" s="716"/>
      <c r="H2" s="716"/>
      <c r="I2" s="716"/>
      <c r="J2" s="716"/>
      <c r="K2" s="716"/>
      <c r="L2" s="716"/>
      <c r="M2" s="716"/>
      <c r="N2" s="716" t="s">
        <v>336</v>
      </c>
      <c r="O2" s="716"/>
      <c r="P2" s="716"/>
      <c r="Q2" s="716"/>
      <c r="R2" s="716"/>
      <c r="S2" s="716"/>
      <c r="T2" s="716"/>
      <c r="U2" s="716"/>
      <c r="V2" s="716"/>
      <c r="W2" s="716"/>
      <c r="X2" s="716"/>
    </row>
    <row r="3" spans="1:24" s="158" customFormat="1" ht="15" customHeight="1" thickBot="1">
      <c r="A3" s="179"/>
      <c r="B3" s="179"/>
      <c r="C3" s="179"/>
      <c r="D3" s="179"/>
      <c r="E3" s="179"/>
      <c r="G3" s="179"/>
      <c r="H3" s="179"/>
      <c r="I3" s="179"/>
      <c r="J3" s="179"/>
      <c r="K3" s="179"/>
      <c r="L3" s="179"/>
      <c r="M3" s="176" t="s">
        <v>1111</v>
      </c>
      <c r="N3" s="179"/>
      <c r="O3" s="179"/>
      <c r="X3" s="159" t="s">
        <v>211</v>
      </c>
    </row>
    <row r="4" spans="1:25" s="173" customFormat="1" ht="15.75" customHeight="1">
      <c r="A4" s="688" t="s">
        <v>590</v>
      </c>
      <c r="B4" s="689" t="s">
        <v>1112</v>
      </c>
      <c r="C4" s="690"/>
      <c r="D4" s="690"/>
      <c r="E4" s="690"/>
      <c r="F4" s="690"/>
      <c r="G4" s="690"/>
      <c r="H4" s="690"/>
      <c r="I4" s="690"/>
      <c r="J4" s="690"/>
      <c r="K4" s="690"/>
      <c r="L4" s="690"/>
      <c r="M4" s="691"/>
      <c r="N4" s="691" t="s">
        <v>591</v>
      </c>
      <c r="O4" s="743"/>
      <c r="P4" s="743"/>
      <c r="Q4" s="743"/>
      <c r="R4" s="743" t="s">
        <v>1113</v>
      </c>
      <c r="S4" s="743"/>
      <c r="T4" s="743"/>
      <c r="U4" s="743"/>
      <c r="V4" s="743"/>
      <c r="W4" s="743"/>
      <c r="X4" s="709" t="s">
        <v>592</v>
      </c>
      <c r="Y4" s="180"/>
    </row>
    <row r="5" spans="1:25" s="173" customFormat="1" ht="15.75" customHeight="1">
      <c r="A5" s="683"/>
      <c r="B5" s="723" t="s">
        <v>337</v>
      </c>
      <c r="C5" s="685"/>
      <c r="D5" s="685"/>
      <c r="E5" s="685"/>
      <c r="F5" s="685"/>
      <c r="G5" s="685"/>
      <c r="H5" s="685"/>
      <c r="I5" s="685"/>
      <c r="J5" s="685"/>
      <c r="K5" s="685"/>
      <c r="L5" s="685"/>
      <c r="M5" s="679"/>
      <c r="N5" s="700" t="s">
        <v>338</v>
      </c>
      <c r="O5" s="725"/>
      <c r="P5" s="725"/>
      <c r="Q5" s="725"/>
      <c r="R5" s="725" t="s">
        <v>339</v>
      </c>
      <c r="S5" s="725"/>
      <c r="T5" s="725"/>
      <c r="U5" s="725"/>
      <c r="V5" s="725"/>
      <c r="W5" s="725"/>
      <c r="X5" s="710"/>
      <c r="Y5" s="180"/>
    </row>
    <row r="6" spans="1:26" s="173" customFormat="1" ht="30" customHeight="1">
      <c r="A6" s="683"/>
      <c r="B6" s="812" t="s">
        <v>593</v>
      </c>
      <c r="C6" s="681"/>
      <c r="D6" s="681"/>
      <c r="E6" s="681"/>
      <c r="F6" s="681" t="s">
        <v>594</v>
      </c>
      <c r="G6" s="681"/>
      <c r="H6" s="681"/>
      <c r="I6" s="681"/>
      <c r="J6" s="681" t="s">
        <v>595</v>
      </c>
      <c r="K6" s="681"/>
      <c r="L6" s="681"/>
      <c r="M6" s="681"/>
      <c r="N6" s="692" t="s">
        <v>596</v>
      </c>
      <c r="O6" s="681" t="s">
        <v>597</v>
      </c>
      <c r="P6" s="681"/>
      <c r="Q6" s="681"/>
      <c r="R6" s="681" t="s">
        <v>598</v>
      </c>
      <c r="S6" s="681"/>
      <c r="T6" s="681" t="s">
        <v>599</v>
      </c>
      <c r="U6" s="681"/>
      <c r="V6" s="681" t="s">
        <v>600</v>
      </c>
      <c r="W6" s="681"/>
      <c r="X6" s="710"/>
      <c r="Y6" s="180"/>
      <c r="Z6" s="409" t="s">
        <v>1323</v>
      </c>
    </row>
    <row r="7" spans="1:25" s="173" customFormat="1" ht="30" customHeight="1">
      <c r="A7" s="683" t="s">
        <v>296</v>
      </c>
      <c r="B7" s="813" t="s">
        <v>340</v>
      </c>
      <c r="C7" s="744"/>
      <c r="D7" s="744"/>
      <c r="E7" s="744"/>
      <c r="F7" s="744" t="s">
        <v>341</v>
      </c>
      <c r="G7" s="744"/>
      <c r="H7" s="744"/>
      <c r="I7" s="744"/>
      <c r="J7" s="744" t="s">
        <v>41</v>
      </c>
      <c r="K7" s="744"/>
      <c r="L7" s="744"/>
      <c r="M7" s="744"/>
      <c r="N7" s="700"/>
      <c r="O7" s="710" t="s">
        <v>342</v>
      </c>
      <c r="P7" s="699"/>
      <c r="Q7" s="700"/>
      <c r="R7" s="710" t="s">
        <v>343</v>
      </c>
      <c r="S7" s="700"/>
      <c r="T7" s="710" t="s">
        <v>344</v>
      </c>
      <c r="U7" s="700"/>
      <c r="V7" s="710" t="s">
        <v>345</v>
      </c>
      <c r="W7" s="700"/>
      <c r="X7" s="710"/>
      <c r="Y7" s="180"/>
    </row>
    <row r="8" spans="1:25" s="173" customFormat="1" ht="15.75" customHeight="1">
      <c r="A8" s="683"/>
      <c r="B8" s="727" t="s">
        <v>601</v>
      </c>
      <c r="C8" s="681" t="s">
        <v>602</v>
      </c>
      <c r="D8" s="681"/>
      <c r="E8" s="681"/>
      <c r="F8" s="681" t="s">
        <v>603</v>
      </c>
      <c r="G8" s="681" t="s">
        <v>604</v>
      </c>
      <c r="H8" s="681"/>
      <c r="I8" s="681"/>
      <c r="J8" s="681" t="s">
        <v>603</v>
      </c>
      <c r="K8" s="681" t="s">
        <v>604</v>
      </c>
      <c r="L8" s="681"/>
      <c r="M8" s="681"/>
      <c r="N8" s="700"/>
      <c r="O8" s="681" t="s">
        <v>494</v>
      </c>
      <c r="P8" s="681" t="s">
        <v>495</v>
      </c>
      <c r="Q8" s="681" t="s">
        <v>496</v>
      </c>
      <c r="R8" s="681" t="s">
        <v>559</v>
      </c>
      <c r="S8" s="681" t="s">
        <v>560</v>
      </c>
      <c r="T8" s="681" t="s">
        <v>559</v>
      </c>
      <c r="U8" s="681" t="s">
        <v>560</v>
      </c>
      <c r="V8" s="681" t="s">
        <v>559</v>
      </c>
      <c r="W8" s="681" t="s">
        <v>560</v>
      </c>
      <c r="X8" s="710" t="s">
        <v>346</v>
      </c>
      <c r="Y8" s="180"/>
    </row>
    <row r="9" spans="1:25" s="173" customFormat="1" ht="15.75" customHeight="1">
      <c r="A9" s="683"/>
      <c r="B9" s="727"/>
      <c r="C9" s="744" t="s">
        <v>347</v>
      </c>
      <c r="D9" s="744"/>
      <c r="E9" s="744"/>
      <c r="F9" s="725"/>
      <c r="G9" s="744" t="s">
        <v>348</v>
      </c>
      <c r="H9" s="744"/>
      <c r="I9" s="744"/>
      <c r="J9" s="725"/>
      <c r="K9" s="744" t="s">
        <v>348</v>
      </c>
      <c r="L9" s="744"/>
      <c r="M9" s="744"/>
      <c r="N9" s="700" t="s">
        <v>349</v>
      </c>
      <c r="O9" s="725"/>
      <c r="P9" s="725"/>
      <c r="Q9" s="725"/>
      <c r="R9" s="725"/>
      <c r="S9" s="725"/>
      <c r="T9" s="725"/>
      <c r="U9" s="725"/>
      <c r="V9" s="725"/>
      <c r="W9" s="725"/>
      <c r="X9" s="710"/>
      <c r="Y9" s="180"/>
    </row>
    <row r="10" spans="1:25" s="173" customFormat="1" ht="15.75" customHeight="1">
      <c r="A10" s="683"/>
      <c r="B10" s="727" t="s">
        <v>335</v>
      </c>
      <c r="C10" s="240" t="s">
        <v>494</v>
      </c>
      <c r="D10" s="240" t="s">
        <v>495</v>
      </c>
      <c r="E10" s="240" t="s">
        <v>496</v>
      </c>
      <c r="F10" s="815" t="s">
        <v>350</v>
      </c>
      <c r="G10" s="240" t="s">
        <v>494</v>
      </c>
      <c r="H10" s="240" t="s">
        <v>495</v>
      </c>
      <c r="I10" s="240" t="s">
        <v>496</v>
      </c>
      <c r="J10" s="815" t="s">
        <v>350</v>
      </c>
      <c r="K10" s="240" t="s">
        <v>494</v>
      </c>
      <c r="L10" s="240" t="s">
        <v>495</v>
      </c>
      <c r="M10" s="240" t="s">
        <v>496</v>
      </c>
      <c r="N10" s="700"/>
      <c r="O10" s="725" t="s">
        <v>6</v>
      </c>
      <c r="P10" s="725" t="s">
        <v>205</v>
      </c>
      <c r="Q10" s="725" t="s">
        <v>206</v>
      </c>
      <c r="R10" s="725" t="s">
        <v>284</v>
      </c>
      <c r="S10" s="725" t="s">
        <v>261</v>
      </c>
      <c r="T10" s="725" t="s">
        <v>284</v>
      </c>
      <c r="U10" s="725" t="s">
        <v>261</v>
      </c>
      <c r="V10" s="725" t="s">
        <v>284</v>
      </c>
      <c r="W10" s="725" t="s">
        <v>261</v>
      </c>
      <c r="X10" s="710"/>
      <c r="Y10" s="180"/>
    </row>
    <row r="11" spans="1:25" s="173" customFormat="1" ht="30" customHeight="1" thickBot="1">
      <c r="A11" s="684"/>
      <c r="B11" s="728"/>
      <c r="C11" s="243" t="s">
        <v>6</v>
      </c>
      <c r="D11" s="243" t="s">
        <v>205</v>
      </c>
      <c r="E11" s="243" t="s">
        <v>206</v>
      </c>
      <c r="F11" s="816"/>
      <c r="G11" s="243" t="s">
        <v>6</v>
      </c>
      <c r="H11" s="243" t="s">
        <v>205</v>
      </c>
      <c r="I11" s="243" t="s">
        <v>206</v>
      </c>
      <c r="J11" s="816"/>
      <c r="K11" s="243" t="s">
        <v>6</v>
      </c>
      <c r="L11" s="243" t="s">
        <v>205</v>
      </c>
      <c r="M11" s="243" t="s">
        <v>206</v>
      </c>
      <c r="N11" s="730"/>
      <c r="O11" s="729"/>
      <c r="P11" s="729"/>
      <c r="Q11" s="729"/>
      <c r="R11" s="729"/>
      <c r="S11" s="729"/>
      <c r="T11" s="729"/>
      <c r="U11" s="729"/>
      <c r="V11" s="729"/>
      <c r="W11" s="729"/>
      <c r="X11" s="731"/>
      <c r="Y11" s="180"/>
    </row>
    <row r="12" spans="1:24" ht="51" customHeight="1">
      <c r="A12" s="163" t="s">
        <v>605</v>
      </c>
      <c r="B12" s="77">
        <v>6</v>
      </c>
      <c r="C12" s="54">
        <f>D12+E12</f>
        <v>281</v>
      </c>
      <c r="D12" s="25">
        <v>161</v>
      </c>
      <c r="E12" s="54">
        <v>120</v>
      </c>
      <c r="F12" s="25" t="s">
        <v>82</v>
      </c>
      <c r="G12" s="25" t="s">
        <v>82</v>
      </c>
      <c r="H12" s="25" t="s">
        <v>82</v>
      </c>
      <c r="I12" s="25" t="s">
        <v>82</v>
      </c>
      <c r="J12" s="25" t="s">
        <v>82</v>
      </c>
      <c r="K12" s="25" t="s">
        <v>82</v>
      </c>
      <c r="L12" s="25" t="s">
        <v>82</v>
      </c>
      <c r="M12" s="25" t="s">
        <v>82</v>
      </c>
      <c r="N12" s="25">
        <v>69</v>
      </c>
      <c r="O12" s="25">
        <f>P12+Q12</f>
        <v>67</v>
      </c>
      <c r="P12" s="25">
        <v>35</v>
      </c>
      <c r="Q12" s="25">
        <v>32</v>
      </c>
      <c r="R12" s="25">
        <v>39205</v>
      </c>
      <c r="S12" s="25">
        <v>58044</v>
      </c>
      <c r="T12" s="25" t="s">
        <v>82</v>
      </c>
      <c r="U12" s="25" t="s">
        <v>82</v>
      </c>
      <c r="V12" s="25">
        <v>897</v>
      </c>
      <c r="W12" s="25">
        <v>1218</v>
      </c>
      <c r="X12" s="23">
        <v>531147</v>
      </c>
    </row>
    <row r="13" spans="1:24" ht="51" customHeight="1">
      <c r="A13" s="163" t="s">
        <v>606</v>
      </c>
      <c r="B13" s="77">
        <v>9</v>
      </c>
      <c r="C13" s="54">
        <f aca="true" t="shared" si="0" ref="C13:C21">D13+E13</f>
        <v>253</v>
      </c>
      <c r="D13" s="25">
        <v>136</v>
      </c>
      <c r="E13" s="25">
        <v>117</v>
      </c>
      <c r="F13" s="25" t="s">
        <v>82</v>
      </c>
      <c r="G13" s="25" t="s">
        <v>82</v>
      </c>
      <c r="H13" s="25" t="s">
        <v>82</v>
      </c>
      <c r="I13" s="25" t="s">
        <v>82</v>
      </c>
      <c r="J13" s="25" t="s">
        <v>82</v>
      </c>
      <c r="K13" s="25" t="s">
        <v>82</v>
      </c>
      <c r="L13" s="25" t="s">
        <v>82</v>
      </c>
      <c r="M13" s="25" t="s">
        <v>82</v>
      </c>
      <c r="N13" s="25">
        <v>62</v>
      </c>
      <c r="O13" s="25">
        <f aca="true" t="shared" si="1" ref="O13:O19">P13+Q13</f>
        <v>70</v>
      </c>
      <c r="P13" s="25">
        <v>35</v>
      </c>
      <c r="Q13" s="25">
        <v>35</v>
      </c>
      <c r="R13" s="25">
        <v>57193</v>
      </c>
      <c r="S13" s="25">
        <v>89945</v>
      </c>
      <c r="T13" s="25" t="s">
        <v>82</v>
      </c>
      <c r="U13" s="25" t="s">
        <v>82</v>
      </c>
      <c r="V13" s="25">
        <v>1231</v>
      </c>
      <c r="W13" s="25">
        <v>1835</v>
      </c>
      <c r="X13" s="23">
        <v>40297</v>
      </c>
    </row>
    <row r="14" spans="1:24" ht="51" customHeight="1">
      <c r="A14" s="163" t="s">
        <v>607</v>
      </c>
      <c r="B14" s="77">
        <v>7</v>
      </c>
      <c r="C14" s="54">
        <f t="shared" si="0"/>
        <v>281</v>
      </c>
      <c r="D14" s="25">
        <v>144</v>
      </c>
      <c r="E14" s="25">
        <v>137</v>
      </c>
      <c r="F14" s="25" t="s">
        <v>82</v>
      </c>
      <c r="G14" s="25" t="s">
        <v>82</v>
      </c>
      <c r="H14" s="25" t="s">
        <v>82</v>
      </c>
      <c r="I14" s="25" t="s">
        <v>82</v>
      </c>
      <c r="J14" s="25" t="s">
        <v>82</v>
      </c>
      <c r="K14" s="25" t="s">
        <v>82</v>
      </c>
      <c r="L14" s="25" t="s">
        <v>82</v>
      </c>
      <c r="M14" s="25" t="s">
        <v>82</v>
      </c>
      <c r="N14" s="25">
        <v>56</v>
      </c>
      <c r="O14" s="25">
        <f t="shared" si="1"/>
        <v>73</v>
      </c>
      <c r="P14" s="25">
        <v>31</v>
      </c>
      <c r="Q14" s="25">
        <v>42</v>
      </c>
      <c r="R14" s="25">
        <v>86687</v>
      </c>
      <c r="S14" s="25">
        <v>130031</v>
      </c>
      <c r="T14" s="25" t="s">
        <v>82</v>
      </c>
      <c r="U14" s="25" t="s">
        <v>82</v>
      </c>
      <c r="V14" s="25">
        <v>1654</v>
      </c>
      <c r="W14" s="25">
        <v>2382</v>
      </c>
      <c r="X14" s="25">
        <v>9544</v>
      </c>
    </row>
    <row r="15" spans="1:24" ht="51" customHeight="1">
      <c r="A15" s="163" t="s">
        <v>608</v>
      </c>
      <c r="B15" s="77">
        <v>8</v>
      </c>
      <c r="C15" s="54">
        <f t="shared" si="0"/>
        <v>259</v>
      </c>
      <c r="D15" s="25">
        <v>142</v>
      </c>
      <c r="E15" s="25">
        <v>117</v>
      </c>
      <c r="F15" s="25" t="s">
        <v>82</v>
      </c>
      <c r="G15" s="25" t="s">
        <v>82</v>
      </c>
      <c r="H15" s="25" t="s">
        <v>82</v>
      </c>
      <c r="I15" s="25" t="s">
        <v>82</v>
      </c>
      <c r="J15" s="25" t="s">
        <v>82</v>
      </c>
      <c r="K15" s="25" t="s">
        <v>82</v>
      </c>
      <c r="L15" s="25" t="s">
        <v>82</v>
      </c>
      <c r="M15" s="25" t="s">
        <v>82</v>
      </c>
      <c r="N15" s="25">
        <v>54</v>
      </c>
      <c r="O15" s="25">
        <f t="shared" si="1"/>
        <v>79</v>
      </c>
      <c r="P15" s="25">
        <v>37</v>
      </c>
      <c r="Q15" s="25">
        <v>42</v>
      </c>
      <c r="R15" s="25">
        <v>65434</v>
      </c>
      <c r="S15" s="25">
        <v>98151</v>
      </c>
      <c r="T15" s="25" t="s">
        <v>82</v>
      </c>
      <c r="U15" s="25" t="s">
        <v>82</v>
      </c>
      <c r="V15" s="25">
        <v>1596</v>
      </c>
      <c r="W15" s="25">
        <v>2319</v>
      </c>
      <c r="X15" s="25">
        <v>8584</v>
      </c>
    </row>
    <row r="16" spans="1:24" ht="51" customHeight="1">
      <c r="A16" s="163" t="s">
        <v>609</v>
      </c>
      <c r="B16" s="77">
        <v>9</v>
      </c>
      <c r="C16" s="54">
        <f t="shared" si="0"/>
        <v>253</v>
      </c>
      <c r="D16" s="25">
        <v>139</v>
      </c>
      <c r="E16" s="25">
        <v>114</v>
      </c>
      <c r="F16" s="25" t="s">
        <v>82</v>
      </c>
      <c r="G16" s="25" t="s">
        <v>82</v>
      </c>
      <c r="H16" s="25" t="s">
        <v>82</v>
      </c>
      <c r="I16" s="25" t="s">
        <v>82</v>
      </c>
      <c r="J16" s="25" t="s">
        <v>82</v>
      </c>
      <c r="K16" s="25" t="s">
        <v>82</v>
      </c>
      <c r="L16" s="25" t="s">
        <v>82</v>
      </c>
      <c r="M16" s="25" t="s">
        <v>82</v>
      </c>
      <c r="N16" s="25">
        <v>44</v>
      </c>
      <c r="O16" s="25">
        <f t="shared" si="1"/>
        <v>76</v>
      </c>
      <c r="P16" s="25">
        <v>35</v>
      </c>
      <c r="Q16" s="25">
        <v>41</v>
      </c>
      <c r="R16" s="25">
        <v>76022</v>
      </c>
      <c r="S16" s="25">
        <v>152037</v>
      </c>
      <c r="T16" s="25">
        <v>1087</v>
      </c>
      <c r="U16" s="25">
        <v>4307</v>
      </c>
      <c r="V16" s="25">
        <v>1670</v>
      </c>
      <c r="W16" s="25">
        <v>2300</v>
      </c>
      <c r="X16" s="25">
        <v>18819</v>
      </c>
    </row>
    <row r="17" spans="1:24" ht="51" customHeight="1">
      <c r="A17" s="163" t="s">
        <v>610</v>
      </c>
      <c r="B17" s="25">
        <v>10</v>
      </c>
      <c r="C17" s="54">
        <f t="shared" si="0"/>
        <v>252</v>
      </c>
      <c r="D17" s="25">
        <v>131</v>
      </c>
      <c r="E17" s="25">
        <v>121</v>
      </c>
      <c r="F17" s="25" t="s">
        <v>82</v>
      </c>
      <c r="G17" s="25" t="s">
        <v>82</v>
      </c>
      <c r="H17" s="25" t="s">
        <v>82</v>
      </c>
      <c r="I17" s="25" t="s">
        <v>82</v>
      </c>
      <c r="J17" s="25" t="s">
        <v>82</v>
      </c>
      <c r="K17" s="25" t="s">
        <v>82</v>
      </c>
      <c r="L17" s="25" t="s">
        <v>82</v>
      </c>
      <c r="M17" s="25" t="s">
        <v>82</v>
      </c>
      <c r="N17" s="25">
        <v>58</v>
      </c>
      <c r="O17" s="25">
        <f t="shared" si="1"/>
        <v>102</v>
      </c>
      <c r="P17" s="25">
        <v>45</v>
      </c>
      <c r="Q17" s="25">
        <v>57</v>
      </c>
      <c r="R17" s="25">
        <v>79033</v>
      </c>
      <c r="S17" s="25">
        <v>158066</v>
      </c>
      <c r="T17" s="25">
        <v>1653</v>
      </c>
      <c r="U17" s="25">
        <v>4988</v>
      </c>
      <c r="V17" s="25">
        <v>32</v>
      </c>
      <c r="W17" s="25">
        <v>146</v>
      </c>
      <c r="X17" s="25">
        <v>8620</v>
      </c>
    </row>
    <row r="18" spans="1:25" ht="51" customHeight="1">
      <c r="A18" s="163" t="s">
        <v>611</v>
      </c>
      <c r="B18" s="23">
        <v>10</v>
      </c>
      <c r="C18" s="54">
        <f t="shared" si="0"/>
        <v>255</v>
      </c>
      <c r="D18" s="23">
        <v>124</v>
      </c>
      <c r="E18" s="23">
        <v>131</v>
      </c>
      <c r="F18" s="23" t="s">
        <v>82</v>
      </c>
      <c r="G18" s="23" t="s">
        <v>82</v>
      </c>
      <c r="H18" s="23" t="s">
        <v>82</v>
      </c>
      <c r="I18" s="23" t="s">
        <v>82</v>
      </c>
      <c r="J18" s="23" t="s">
        <v>82</v>
      </c>
      <c r="K18" s="23" t="s">
        <v>82</v>
      </c>
      <c r="L18" s="23" t="s">
        <v>82</v>
      </c>
      <c r="M18" s="23" t="s">
        <v>82</v>
      </c>
      <c r="N18" s="23">
        <v>54</v>
      </c>
      <c r="O18" s="25">
        <f t="shared" si="1"/>
        <v>98</v>
      </c>
      <c r="P18" s="23">
        <v>44</v>
      </c>
      <c r="Q18" s="23">
        <v>54</v>
      </c>
      <c r="R18" s="23">
        <v>77595</v>
      </c>
      <c r="S18" s="23">
        <v>155190</v>
      </c>
      <c r="T18" s="23">
        <v>1375</v>
      </c>
      <c r="U18" s="23">
        <v>3663</v>
      </c>
      <c r="V18" s="23">
        <v>46</v>
      </c>
      <c r="W18" s="23">
        <v>210</v>
      </c>
      <c r="X18" s="23">
        <v>24719</v>
      </c>
      <c r="Y18" s="14"/>
    </row>
    <row r="19" spans="1:24" ht="51" customHeight="1">
      <c r="A19" s="163" t="s">
        <v>538</v>
      </c>
      <c r="B19" s="77">
        <v>9</v>
      </c>
      <c r="C19" s="54">
        <f t="shared" si="0"/>
        <v>259</v>
      </c>
      <c r="D19" s="25">
        <v>123</v>
      </c>
      <c r="E19" s="54">
        <v>136</v>
      </c>
      <c r="F19" s="25" t="s">
        <v>42</v>
      </c>
      <c r="G19" s="25" t="s">
        <v>42</v>
      </c>
      <c r="H19" s="25" t="s">
        <v>42</v>
      </c>
      <c r="I19" s="25" t="s">
        <v>42</v>
      </c>
      <c r="J19" s="25" t="s">
        <v>42</v>
      </c>
      <c r="K19" s="25" t="s">
        <v>42</v>
      </c>
      <c r="L19" s="25" t="s">
        <v>42</v>
      </c>
      <c r="M19" s="25" t="s">
        <v>42</v>
      </c>
      <c r="N19" s="23">
        <v>74</v>
      </c>
      <c r="O19" s="25">
        <f t="shared" si="1"/>
        <v>98</v>
      </c>
      <c r="P19" s="23">
        <v>37</v>
      </c>
      <c r="Q19" s="23">
        <v>61</v>
      </c>
      <c r="R19" s="23">
        <v>78036</v>
      </c>
      <c r="S19" s="23">
        <f>156072000/1000</f>
        <v>156072</v>
      </c>
      <c r="T19" s="23">
        <v>1694</v>
      </c>
      <c r="U19" s="23">
        <f>8467680/1000</f>
        <v>8467.68</v>
      </c>
      <c r="V19" s="23">
        <v>64</v>
      </c>
      <c r="W19" s="23">
        <f>302000/1000</f>
        <v>302</v>
      </c>
      <c r="X19" s="23">
        <v>17322</v>
      </c>
    </row>
    <row r="20" spans="1:24" s="14" customFormat="1" ht="51" customHeight="1">
      <c r="A20" s="163" t="s">
        <v>935</v>
      </c>
      <c r="B20" s="77">
        <v>9</v>
      </c>
      <c r="C20" s="54">
        <f t="shared" si="0"/>
        <v>228</v>
      </c>
      <c r="D20" s="25">
        <v>111</v>
      </c>
      <c r="E20" s="54">
        <v>117</v>
      </c>
      <c r="F20" s="25" t="s">
        <v>970</v>
      </c>
      <c r="G20" s="25" t="s">
        <v>970</v>
      </c>
      <c r="H20" s="25" t="s">
        <v>970</v>
      </c>
      <c r="I20" s="25" t="s">
        <v>970</v>
      </c>
      <c r="J20" s="25" t="s">
        <v>970</v>
      </c>
      <c r="K20" s="25" t="s">
        <v>970</v>
      </c>
      <c r="L20" s="25" t="s">
        <v>970</v>
      </c>
      <c r="M20" s="25" t="s">
        <v>970</v>
      </c>
      <c r="N20" s="25">
        <v>76</v>
      </c>
      <c r="O20" s="23">
        <f>P20+Q20</f>
        <v>100</v>
      </c>
      <c r="P20" s="23">
        <v>44</v>
      </c>
      <c r="Q20" s="23">
        <v>56</v>
      </c>
      <c r="R20" s="23">
        <v>80072</v>
      </c>
      <c r="S20" s="23">
        <f>165981810/1000</f>
        <v>165981.81</v>
      </c>
      <c r="T20" s="23">
        <v>1735</v>
      </c>
      <c r="U20" s="23">
        <f>11720816/1000</f>
        <v>11720.816</v>
      </c>
      <c r="V20" s="23">
        <v>134</v>
      </c>
      <c r="W20" s="23">
        <v>571</v>
      </c>
      <c r="X20" s="23">
        <v>45090</v>
      </c>
    </row>
    <row r="21" spans="1:24" s="14" customFormat="1" ht="51" customHeight="1" thickBot="1">
      <c r="A21" s="412" t="s">
        <v>1206</v>
      </c>
      <c r="B21" s="27">
        <v>9</v>
      </c>
      <c r="C21" s="75">
        <f t="shared" si="0"/>
        <v>232</v>
      </c>
      <c r="D21" s="29">
        <v>112</v>
      </c>
      <c r="E21" s="75">
        <v>120</v>
      </c>
      <c r="F21" s="28" t="s">
        <v>82</v>
      </c>
      <c r="G21" s="28" t="s">
        <v>82</v>
      </c>
      <c r="H21" s="28" t="s">
        <v>82</v>
      </c>
      <c r="I21" s="28" t="s">
        <v>82</v>
      </c>
      <c r="J21" s="28" t="s">
        <v>82</v>
      </c>
      <c r="K21" s="28" t="s">
        <v>82</v>
      </c>
      <c r="L21" s="28" t="s">
        <v>82</v>
      </c>
      <c r="M21" s="28" t="s">
        <v>82</v>
      </c>
      <c r="N21" s="29">
        <v>73</v>
      </c>
      <c r="O21" s="29">
        <f>P21+Q21</f>
        <v>101</v>
      </c>
      <c r="P21" s="28">
        <v>43</v>
      </c>
      <c r="Q21" s="28">
        <v>58</v>
      </c>
      <c r="R21" s="28">
        <v>83946</v>
      </c>
      <c r="S21" s="28">
        <f>174020058/1000</f>
        <v>174020.058</v>
      </c>
      <c r="T21" s="28">
        <v>1886</v>
      </c>
      <c r="U21" s="28">
        <f>12025432/1000</f>
        <v>12025.432</v>
      </c>
      <c r="V21" s="28">
        <v>136</v>
      </c>
      <c r="W21" s="28">
        <v>643</v>
      </c>
      <c r="X21" s="28">
        <v>31182</v>
      </c>
    </row>
    <row r="22" spans="1:15" s="158" customFormat="1" ht="15" customHeight="1">
      <c r="A22" s="174" t="s">
        <v>1080</v>
      </c>
      <c r="B22" s="176"/>
      <c r="C22" s="176"/>
      <c r="D22" s="176"/>
      <c r="E22" s="179"/>
      <c r="F22" s="179"/>
      <c r="G22" s="176"/>
      <c r="H22" s="176"/>
      <c r="I22" s="179"/>
      <c r="J22" s="176"/>
      <c r="K22" s="176"/>
      <c r="L22" s="176"/>
      <c r="M22" s="176"/>
      <c r="N22" s="247" t="s">
        <v>126</v>
      </c>
      <c r="O22" s="176"/>
    </row>
    <row r="23" spans="1:14" s="158" customFormat="1" ht="15" customHeight="1">
      <c r="A23" s="178" t="s">
        <v>1114</v>
      </c>
      <c r="N23" s="178" t="s">
        <v>351</v>
      </c>
    </row>
    <row r="24" s="158" customFormat="1" ht="15" customHeight="1">
      <c r="N24" s="178" t="s">
        <v>352</v>
      </c>
    </row>
    <row r="25" s="158" customFormat="1" ht="12.75"/>
    <row r="26" s="158" customFormat="1" ht="12.75"/>
    <row r="27" s="158" customFormat="1" ht="12.75"/>
    <row r="28" s="158" customFormat="1" ht="12.75"/>
  </sheetData>
  <sheetProtection/>
  <mergeCells count="58">
    <mergeCell ref="B10:B11"/>
    <mergeCell ref="F10:F11"/>
    <mergeCell ref="J10:J11"/>
    <mergeCell ref="X8:X11"/>
    <mergeCell ref="U10:U11"/>
    <mergeCell ref="V10:V11"/>
    <mergeCell ref="W10:W11"/>
    <mergeCell ref="R10:R11"/>
    <mergeCell ref="S10:S11"/>
    <mergeCell ref="T10:T11"/>
    <mergeCell ref="C9:E9"/>
    <mergeCell ref="G9:I9"/>
    <mergeCell ref="K9:M9"/>
    <mergeCell ref="N9:N11"/>
    <mergeCell ref="P10:P11"/>
    <mergeCell ref="Q10:Q11"/>
    <mergeCell ref="J8:J9"/>
    <mergeCell ref="K8:M8"/>
    <mergeCell ref="O10:O11"/>
    <mergeCell ref="T6:U6"/>
    <mergeCell ref="V6:W6"/>
    <mergeCell ref="T7:U7"/>
    <mergeCell ref="V7:W7"/>
    <mergeCell ref="S8:S9"/>
    <mergeCell ref="T8:T9"/>
    <mergeCell ref="U8:U9"/>
    <mergeCell ref="V8:V9"/>
    <mergeCell ref="W8:W9"/>
    <mergeCell ref="A7:A11"/>
    <mergeCell ref="B7:E7"/>
    <mergeCell ref="F7:I7"/>
    <mergeCell ref="J7:M7"/>
    <mergeCell ref="O7:Q7"/>
    <mergeCell ref="R7:S7"/>
    <mergeCell ref="O8:O9"/>
    <mergeCell ref="P8:P9"/>
    <mergeCell ref="Q8:Q9"/>
    <mergeCell ref="R8:R9"/>
    <mergeCell ref="B6:E6"/>
    <mergeCell ref="F6:I6"/>
    <mergeCell ref="J6:M6"/>
    <mergeCell ref="N6:N8"/>
    <mergeCell ref="O6:Q6"/>
    <mergeCell ref="R6:S6"/>
    <mergeCell ref="B8:B9"/>
    <mergeCell ref="C8:E8"/>
    <mergeCell ref="F8:F9"/>
    <mergeCell ref="G8:I8"/>
    <mergeCell ref="A2:M2"/>
    <mergeCell ref="N2:X2"/>
    <mergeCell ref="A4:A6"/>
    <mergeCell ref="B4:M4"/>
    <mergeCell ref="N4:Q4"/>
    <mergeCell ref="R4:W4"/>
    <mergeCell ref="X4:X7"/>
    <mergeCell ref="B5:M5"/>
    <mergeCell ref="N5:Q5"/>
    <mergeCell ref="R5:W5"/>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colBreaks count="1" manualBreakCount="1">
    <brk id="13" max="23" man="1"/>
  </colBreaks>
  <legacyDrawing r:id="rId2"/>
</worksheet>
</file>

<file path=xl/worksheets/sheet24.xml><?xml version="1.0" encoding="utf-8"?>
<worksheet xmlns="http://schemas.openxmlformats.org/spreadsheetml/2006/main" xmlns:r="http://schemas.openxmlformats.org/officeDocument/2006/relationships">
  <dimension ref="A1:Y27"/>
  <sheetViews>
    <sheetView showGridLines="0" view="pageBreakPreview" zoomScale="55" zoomScaleNormal="120" zoomScaleSheetLayoutView="55" zoomScalePageLayoutView="0" workbookViewId="0" topLeftCell="A1">
      <selection activeCell="A1" sqref="A1"/>
    </sheetView>
  </sheetViews>
  <sheetFormatPr defaultColWidth="9.00390625" defaultRowHeight="16.5"/>
  <cols>
    <col min="1" max="1" width="12.75390625" style="158" customWidth="1"/>
    <col min="2" max="2" width="6.75390625" style="11" customWidth="1"/>
    <col min="3" max="3" width="7.125" style="11" customWidth="1"/>
    <col min="4" max="4" width="8.375" style="11" customWidth="1"/>
    <col min="5" max="5" width="7.625" style="11" customWidth="1"/>
    <col min="6" max="6" width="7.50390625" style="11" customWidth="1"/>
    <col min="7" max="7" width="6.75390625" style="11" customWidth="1"/>
    <col min="8" max="8" width="7.125" style="11" customWidth="1"/>
    <col min="9" max="9" width="8.375" style="11" customWidth="1"/>
    <col min="10" max="10" width="8.00390625" style="11" customWidth="1"/>
    <col min="11" max="11" width="7.50390625" style="11" customWidth="1"/>
    <col min="12" max="12" width="7.75390625" style="11" customWidth="1"/>
    <col min="13" max="13" width="8.375" style="11" customWidth="1"/>
    <col min="14" max="15" width="8.00390625" style="11" customWidth="1"/>
    <col min="16" max="16" width="7.75390625" style="11" customWidth="1"/>
    <col min="17" max="17" width="8.375" style="11" customWidth="1"/>
    <col min="18" max="18" width="8.50390625" style="11" customWidth="1"/>
    <col min="19" max="19" width="7.75390625" style="11" customWidth="1"/>
    <col min="20" max="20" width="7.625" style="11" customWidth="1"/>
    <col min="21" max="21" width="8.375" style="11" customWidth="1"/>
    <col min="22" max="22" width="7.75390625" style="11" customWidth="1"/>
    <col min="23" max="23" width="9.00390625" style="11" customWidth="1"/>
    <col min="24" max="24" width="0" style="11" hidden="1" customWidth="1"/>
    <col min="25" max="25" width="9.00390625" style="11" hidden="1" customWidth="1"/>
    <col min="26" max="16384" width="9.00390625" style="11" customWidth="1"/>
  </cols>
  <sheetData>
    <row r="1" spans="1:22" s="158" customFormat="1" ht="18" customHeight="1">
      <c r="A1" s="157" t="s">
        <v>1077</v>
      </c>
      <c r="B1" s="189"/>
      <c r="C1" s="189"/>
      <c r="D1" s="189"/>
      <c r="E1" s="189"/>
      <c r="F1" s="189"/>
      <c r="G1" s="189"/>
      <c r="H1" s="189"/>
      <c r="I1" s="189"/>
      <c r="J1" s="189"/>
      <c r="K1" s="189"/>
      <c r="L1" s="189"/>
      <c r="M1" s="189"/>
      <c r="N1" s="189"/>
      <c r="O1" s="189"/>
      <c r="P1" s="189"/>
      <c r="V1" s="190" t="s">
        <v>971</v>
      </c>
    </row>
    <row r="2" spans="1:22" s="158" customFormat="1" ht="24.75" customHeight="1">
      <c r="A2" s="821" t="s">
        <v>1103</v>
      </c>
      <c r="B2" s="821"/>
      <c r="C2" s="821"/>
      <c r="D2" s="821"/>
      <c r="E2" s="821"/>
      <c r="F2" s="821"/>
      <c r="G2" s="821"/>
      <c r="H2" s="821"/>
      <c r="I2" s="821"/>
      <c r="J2" s="821"/>
      <c r="K2" s="189"/>
      <c r="L2" s="821" t="s">
        <v>972</v>
      </c>
      <c r="M2" s="821"/>
      <c r="N2" s="821"/>
      <c r="O2" s="821"/>
      <c r="P2" s="821"/>
      <c r="Q2" s="821"/>
      <c r="R2" s="821"/>
      <c r="S2" s="821"/>
      <c r="T2" s="821"/>
      <c r="U2" s="821"/>
      <c r="V2" s="821"/>
    </row>
    <row r="3" spans="1:22" s="158" customFormat="1" ht="15" customHeight="1" thickBot="1">
      <c r="A3" s="221"/>
      <c r="B3" s="185"/>
      <c r="C3" s="185"/>
      <c r="D3" s="185"/>
      <c r="E3" s="185"/>
      <c r="F3" s="185"/>
      <c r="G3" s="189"/>
      <c r="H3" s="159"/>
      <c r="I3" s="189"/>
      <c r="J3" s="190"/>
      <c r="K3" s="190" t="s">
        <v>1104</v>
      </c>
      <c r="L3" s="190"/>
      <c r="M3" s="189"/>
      <c r="N3" s="189"/>
      <c r="O3" s="189"/>
      <c r="P3" s="189"/>
      <c r="V3" s="191" t="s">
        <v>973</v>
      </c>
    </row>
    <row r="4" spans="1:22" s="158" customFormat="1" ht="15.75" customHeight="1">
      <c r="A4" s="822" t="s">
        <v>572</v>
      </c>
      <c r="B4" s="824" t="s">
        <v>573</v>
      </c>
      <c r="C4" s="575"/>
      <c r="D4" s="575"/>
      <c r="E4" s="575"/>
      <c r="F4" s="575"/>
      <c r="G4" s="575"/>
      <c r="H4" s="575"/>
      <c r="I4" s="825"/>
      <c r="J4" s="826" t="s">
        <v>1105</v>
      </c>
      <c r="K4" s="575"/>
      <c r="L4" s="575"/>
      <c r="M4" s="575"/>
      <c r="N4" s="575"/>
      <c r="O4" s="575"/>
      <c r="P4" s="825"/>
      <c r="Q4" s="826" t="s">
        <v>574</v>
      </c>
      <c r="R4" s="575"/>
      <c r="S4" s="575"/>
      <c r="T4" s="575"/>
      <c r="U4" s="575"/>
      <c r="V4" s="575"/>
    </row>
    <row r="5" spans="1:22" s="158" customFormat="1" ht="15.75" customHeight="1">
      <c r="A5" s="823"/>
      <c r="B5" s="827" t="s">
        <v>353</v>
      </c>
      <c r="C5" s="579"/>
      <c r="D5" s="579"/>
      <c r="E5" s="579"/>
      <c r="F5" s="579"/>
      <c r="G5" s="579"/>
      <c r="H5" s="579"/>
      <c r="I5" s="828"/>
      <c r="J5" s="829" t="s">
        <v>354</v>
      </c>
      <c r="K5" s="579"/>
      <c r="L5" s="579"/>
      <c r="M5" s="579"/>
      <c r="N5" s="579"/>
      <c r="O5" s="579"/>
      <c r="P5" s="828"/>
      <c r="Q5" s="829" t="s">
        <v>355</v>
      </c>
      <c r="R5" s="579"/>
      <c r="S5" s="579"/>
      <c r="T5" s="579"/>
      <c r="U5" s="579"/>
      <c r="V5" s="579"/>
    </row>
    <row r="6" spans="1:22" s="158" customFormat="1" ht="19.5" customHeight="1">
      <c r="A6" s="823"/>
      <c r="B6" s="830" t="s">
        <v>575</v>
      </c>
      <c r="C6" s="831"/>
      <c r="D6" s="834" t="s">
        <v>576</v>
      </c>
      <c r="E6" s="831"/>
      <c r="F6" s="834" t="s">
        <v>577</v>
      </c>
      <c r="G6" s="836"/>
      <c r="H6" s="836"/>
      <c r="I6" s="831"/>
      <c r="J6" s="834" t="s">
        <v>575</v>
      </c>
      <c r="K6" s="831"/>
      <c r="L6" s="836" t="s">
        <v>576</v>
      </c>
      <c r="M6" s="831"/>
      <c r="N6" s="834" t="s">
        <v>577</v>
      </c>
      <c r="O6" s="836"/>
      <c r="P6" s="831"/>
      <c r="Q6" s="839" t="s">
        <v>575</v>
      </c>
      <c r="R6" s="840" t="s">
        <v>584</v>
      </c>
      <c r="S6" s="841"/>
      <c r="T6" s="834" t="s">
        <v>577</v>
      </c>
      <c r="U6" s="836"/>
      <c r="V6" s="227"/>
    </row>
    <row r="7" spans="1:22" s="158" customFormat="1" ht="15.75" customHeight="1">
      <c r="A7" s="823" t="s">
        <v>356</v>
      </c>
      <c r="B7" s="832"/>
      <c r="C7" s="833"/>
      <c r="D7" s="835"/>
      <c r="E7" s="833"/>
      <c r="F7" s="835"/>
      <c r="G7" s="837"/>
      <c r="H7" s="834" t="s">
        <v>578</v>
      </c>
      <c r="I7" s="831"/>
      <c r="J7" s="835"/>
      <c r="K7" s="833"/>
      <c r="L7" s="837"/>
      <c r="M7" s="833"/>
      <c r="N7" s="838"/>
      <c r="O7" s="834" t="s">
        <v>578</v>
      </c>
      <c r="P7" s="831"/>
      <c r="Q7" s="838"/>
      <c r="R7" s="842"/>
      <c r="S7" s="843"/>
      <c r="T7" s="835"/>
      <c r="U7" s="837"/>
      <c r="V7" s="225" t="s">
        <v>578</v>
      </c>
    </row>
    <row r="8" spans="1:22" s="158" customFormat="1" ht="27" customHeight="1" thickBot="1">
      <c r="A8" s="844"/>
      <c r="B8" s="845" t="s">
        <v>357</v>
      </c>
      <c r="C8" s="846"/>
      <c r="D8" s="847" t="s">
        <v>358</v>
      </c>
      <c r="E8" s="846"/>
      <c r="F8" s="847" t="s">
        <v>359</v>
      </c>
      <c r="G8" s="846"/>
      <c r="H8" s="847" t="s">
        <v>360</v>
      </c>
      <c r="I8" s="846"/>
      <c r="J8" s="847" t="s">
        <v>361</v>
      </c>
      <c r="K8" s="846"/>
      <c r="L8" s="848" t="s">
        <v>358</v>
      </c>
      <c r="M8" s="846"/>
      <c r="N8" s="229" t="s">
        <v>359</v>
      </c>
      <c r="O8" s="847" t="s">
        <v>362</v>
      </c>
      <c r="P8" s="846"/>
      <c r="Q8" s="169" t="s">
        <v>361</v>
      </c>
      <c r="R8" s="847" t="s">
        <v>358</v>
      </c>
      <c r="S8" s="846"/>
      <c r="T8" s="847" t="s">
        <v>359</v>
      </c>
      <c r="U8" s="846"/>
      <c r="V8" s="169" t="s">
        <v>360</v>
      </c>
    </row>
    <row r="9" spans="1:22" ht="42" customHeight="1">
      <c r="A9" s="222" t="s">
        <v>579</v>
      </c>
      <c r="B9" s="853">
        <f>K9+Q9</f>
        <v>241</v>
      </c>
      <c r="C9" s="854"/>
      <c r="E9" s="54">
        <f>M9+S9</f>
        <v>16235</v>
      </c>
      <c r="F9" s="54"/>
      <c r="G9" s="70">
        <f>N9+U9</f>
        <v>1536</v>
      </c>
      <c r="I9" s="70">
        <f>P9+V9</f>
        <v>1267</v>
      </c>
      <c r="J9" s="70"/>
      <c r="K9" s="70">
        <v>13</v>
      </c>
      <c r="M9" s="70">
        <v>6310</v>
      </c>
      <c r="N9" s="70">
        <v>322</v>
      </c>
      <c r="O9" s="70"/>
      <c r="P9" s="70">
        <v>306</v>
      </c>
      <c r="Q9" s="70">
        <v>228</v>
      </c>
      <c r="R9" s="70"/>
      <c r="S9" s="70">
        <v>9925</v>
      </c>
      <c r="T9" s="70"/>
      <c r="U9" s="70">
        <v>1214</v>
      </c>
      <c r="V9" s="70">
        <v>961</v>
      </c>
    </row>
    <row r="10" spans="1:22" ht="42" customHeight="1">
      <c r="A10" s="222" t="s">
        <v>580</v>
      </c>
      <c r="B10" s="853">
        <f>K10+Q10</f>
        <v>234</v>
      </c>
      <c r="C10" s="854"/>
      <c r="E10" s="54">
        <f>M10+S10</f>
        <v>19185</v>
      </c>
      <c r="F10" s="54"/>
      <c r="G10" s="70">
        <f>N10+U10</f>
        <v>1907</v>
      </c>
      <c r="I10" s="70">
        <f>P10+V10</f>
        <v>1617</v>
      </c>
      <c r="J10" s="70"/>
      <c r="K10" s="70">
        <v>13</v>
      </c>
      <c r="M10" s="70">
        <v>6773</v>
      </c>
      <c r="N10" s="70">
        <v>334</v>
      </c>
      <c r="O10" s="70"/>
      <c r="P10" s="70">
        <v>321</v>
      </c>
      <c r="Q10" s="70">
        <v>221</v>
      </c>
      <c r="R10" s="70"/>
      <c r="S10" s="70">
        <v>12412</v>
      </c>
      <c r="T10" s="70"/>
      <c r="U10" s="70">
        <v>1573</v>
      </c>
      <c r="V10" s="70">
        <v>1296</v>
      </c>
    </row>
    <row r="11" spans="1:22" ht="42" customHeight="1">
      <c r="A11" s="222" t="s">
        <v>581</v>
      </c>
      <c r="B11" s="853">
        <f>K11+Q11</f>
        <v>237</v>
      </c>
      <c r="C11" s="854"/>
      <c r="E11" s="54">
        <f>M11+S11</f>
        <v>18770</v>
      </c>
      <c r="F11" s="54"/>
      <c r="G11" s="70">
        <f>N11+U11</f>
        <v>1719</v>
      </c>
      <c r="I11" s="70">
        <f>P11+V11</f>
        <v>1495</v>
      </c>
      <c r="J11" s="70"/>
      <c r="K11" s="70">
        <v>13</v>
      </c>
      <c r="M11" s="70">
        <v>5911</v>
      </c>
      <c r="N11" s="70">
        <v>321</v>
      </c>
      <c r="O11" s="70"/>
      <c r="P11" s="70">
        <v>308</v>
      </c>
      <c r="Q11" s="70">
        <v>224</v>
      </c>
      <c r="R11" s="70"/>
      <c r="S11" s="70">
        <v>12859</v>
      </c>
      <c r="T11" s="70"/>
      <c r="U11" s="70">
        <v>1398</v>
      </c>
      <c r="V11" s="70">
        <v>1187</v>
      </c>
    </row>
    <row r="12" spans="1:22" ht="42" customHeight="1" thickBot="1">
      <c r="A12" s="223" t="s">
        <v>582</v>
      </c>
      <c r="B12" s="855">
        <f>K12+Q12</f>
        <v>238</v>
      </c>
      <c r="C12" s="856"/>
      <c r="D12" s="49"/>
      <c r="E12" s="63">
        <f>M12+S12</f>
        <v>18765</v>
      </c>
      <c r="F12" s="63"/>
      <c r="G12" s="75">
        <f>N12+U12</f>
        <v>1669</v>
      </c>
      <c r="H12" s="49"/>
      <c r="I12" s="75">
        <f>P12+V12</f>
        <v>1449</v>
      </c>
      <c r="J12" s="75"/>
      <c r="K12" s="75">
        <v>13</v>
      </c>
      <c r="L12" s="49"/>
      <c r="M12" s="75">
        <v>5467</v>
      </c>
      <c r="N12" s="75">
        <v>340</v>
      </c>
      <c r="O12" s="75"/>
      <c r="P12" s="75">
        <v>327</v>
      </c>
      <c r="Q12" s="75">
        <v>225</v>
      </c>
      <c r="R12" s="75"/>
      <c r="S12" s="75">
        <v>13298</v>
      </c>
      <c r="T12" s="75"/>
      <c r="U12" s="75">
        <v>1329</v>
      </c>
      <c r="V12" s="75">
        <v>1122</v>
      </c>
    </row>
    <row r="13" spans="1:25" ht="19.5" customHeight="1" thickBot="1">
      <c r="A13" s="185"/>
      <c r="B13" s="46"/>
      <c r="C13" s="46"/>
      <c r="D13" s="46"/>
      <c r="E13" s="46"/>
      <c r="F13" s="46"/>
      <c r="G13" s="52"/>
      <c r="I13" s="52"/>
      <c r="J13" s="3"/>
      <c r="K13" s="52"/>
      <c r="L13" s="3"/>
      <c r="M13" s="52"/>
      <c r="N13" s="52"/>
      <c r="O13" s="52"/>
      <c r="P13" s="52"/>
      <c r="R13" s="53"/>
      <c r="W13" s="415"/>
      <c r="Y13" s="524" t="s">
        <v>1322</v>
      </c>
    </row>
    <row r="14" spans="1:22" s="174" customFormat="1" ht="15.75" customHeight="1">
      <c r="A14" s="822" t="s">
        <v>572</v>
      </c>
      <c r="B14" s="824" t="s">
        <v>573</v>
      </c>
      <c r="C14" s="575"/>
      <c r="D14" s="575"/>
      <c r="E14" s="575"/>
      <c r="F14" s="825"/>
      <c r="G14" s="857" t="s">
        <v>583</v>
      </c>
      <c r="H14" s="858"/>
      <c r="I14" s="858"/>
      <c r="J14" s="825"/>
      <c r="K14" s="575" t="s">
        <v>1106</v>
      </c>
      <c r="L14" s="575"/>
      <c r="M14" s="575"/>
      <c r="N14" s="825"/>
      <c r="O14" s="575" t="s">
        <v>1107</v>
      </c>
      <c r="P14" s="575"/>
      <c r="Q14" s="575"/>
      <c r="R14" s="825"/>
      <c r="S14" s="826" t="s">
        <v>1108</v>
      </c>
      <c r="T14" s="575"/>
      <c r="U14" s="575"/>
      <c r="V14" s="575"/>
    </row>
    <row r="15" spans="1:22" s="174" customFormat="1" ht="15.75" customHeight="1">
      <c r="A15" s="823"/>
      <c r="B15" s="827" t="s">
        <v>353</v>
      </c>
      <c r="C15" s="579"/>
      <c r="D15" s="579"/>
      <c r="E15" s="579"/>
      <c r="F15" s="828"/>
      <c r="G15" s="829" t="s">
        <v>363</v>
      </c>
      <c r="H15" s="579"/>
      <c r="I15" s="579"/>
      <c r="J15" s="828"/>
      <c r="K15" s="579" t="s">
        <v>1194</v>
      </c>
      <c r="L15" s="579"/>
      <c r="M15" s="579"/>
      <c r="N15" s="828"/>
      <c r="O15" s="829" t="s">
        <v>364</v>
      </c>
      <c r="P15" s="579"/>
      <c r="Q15" s="579"/>
      <c r="R15" s="828"/>
      <c r="S15" s="829" t="s">
        <v>365</v>
      </c>
      <c r="T15" s="579"/>
      <c r="U15" s="579"/>
      <c r="V15" s="579"/>
    </row>
    <row r="16" spans="1:22" s="174" customFormat="1" ht="19.5" customHeight="1">
      <c r="A16" s="823"/>
      <c r="B16" s="849" t="s">
        <v>575</v>
      </c>
      <c r="C16" s="851" t="s">
        <v>584</v>
      </c>
      <c r="D16" s="840" t="s">
        <v>585</v>
      </c>
      <c r="E16" s="231"/>
      <c r="F16" s="231"/>
      <c r="G16" s="839" t="s">
        <v>575</v>
      </c>
      <c r="H16" s="851" t="s">
        <v>584</v>
      </c>
      <c r="I16" s="721" t="s">
        <v>585</v>
      </c>
      <c r="J16" s="232"/>
      <c r="K16" s="839" t="s">
        <v>575</v>
      </c>
      <c r="L16" s="841" t="s">
        <v>584</v>
      </c>
      <c r="M16" s="721" t="s">
        <v>585</v>
      </c>
      <c r="N16" s="232"/>
      <c r="O16" s="831" t="s">
        <v>575</v>
      </c>
      <c r="P16" s="851" t="s">
        <v>584</v>
      </c>
      <c r="Q16" s="721" t="s">
        <v>585</v>
      </c>
      <c r="R16" s="232"/>
      <c r="S16" s="839" t="s">
        <v>575</v>
      </c>
      <c r="T16" s="851" t="s">
        <v>584</v>
      </c>
      <c r="U16" s="840" t="s">
        <v>585</v>
      </c>
      <c r="V16" s="233"/>
    </row>
    <row r="17" spans="1:22" s="174" customFormat="1" ht="36" customHeight="1">
      <c r="A17" s="823" t="s">
        <v>356</v>
      </c>
      <c r="B17" s="850"/>
      <c r="C17" s="852"/>
      <c r="D17" s="835"/>
      <c r="E17" s="226" t="s">
        <v>586</v>
      </c>
      <c r="F17" s="234" t="s">
        <v>974</v>
      </c>
      <c r="G17" s="838"/>
      <c r="H17" s="852"/>
      <c r="I17" s="837"/>
      <c r="J17" s="235" t="s">
        <v>975</v>
      </c>
      <c r="K17" s="838"/>
      <c r="L17" s="843"/>
      <c r="M17" s="837"/>
      <c r="N17" s="235" t="s">
        <v>975</v>
      </c>
      <c r="O17" s="833"/>
      <c r="P17" s="852"/>
      <c r="Q17" s="837"/>
      <c r="R17" s="235" t="s">
        <v>975</v>
      </c>
      <c r="S17" s="838"/>
      <c r="T17" s="852"/>
      <c r="U17" s="835"/>
      <c r="V17" s="236" t="s">
        <v>974</v>
      </c>
    </row>
    <row r="18" spans="1:22" s="174" customFormat="1" ht="72" customHeight="1" thickBot="1">
      <c r="A18" s="844"/>
      <c r="B18" s="167" t="s">
        <v>366</v>
      </c>
      <c r="C18" s="168" t="s">
        <v>367</v>
      </c>
      <c r="D18" s="237" t="s">
        <v>368</v>
      </c>
      <c r="E18" s="168" t="s">
        <v>369</v>
      </c>
      <c r="F18" s="238" t="s">
        <v>370</v>
      </c>
      <c r="G18" s="170" t="s">
        <v>366</v>
      </c>
      <c r="H18" s="168" t="s">
        <v>367</v>
      </c>
      <c r="I18" s="238" t="s">
        <v>368</v>
      </c>
      <c r="J18" s="238" t="s">
        <v>976</v>
      </c>
      <c r="K18" s="168" t="s">
        <v>977</v>
      </c>
      <c r="L18" s="170" t="s">
        <v>978</v>
      </c>
      <c r="M18" s="238" t="s">
        <v>979</v>
      </c>
      <c r="N18" s="238" t="s">
        <v>976</v>
      </c>
      <c r="O18" s="170" t="s">
        <v>977</v>
      </c>
      <c r="P18" s="168" t="s">
        <v>978</v>
      </c>
      <c r="Q18" s="238" t="s">
        <v>979</v>
      </c>
      <c r="R18" s="238" t="s">
        <v>976</v>
      </c>
      <c r="S18" s="170" t="s">
        <v>977</v>
      </c>
      <c r="T18" s="168" t="s">
        <v>978</v>
      </c>
      <c r="U18" s="238" t="s">
        <v>979</v>
      </c>
      <c r="V18" s="229" t="s">
        <v>980</v>
      </c>
    </row>
    <row r="19" spans="1:22" s="2" customFormat="1" ht="42" customHeight="1">
      <c r="A19" s="222" t="s">
        <v>981</v>
      </c>
      <c r="B19" s="6">
        <f>SUM(G19,K19,S19)</f>
        <v>202</v>
      </c>
      <c r="C19" s="6">
        <f aca="true" t="shared" si="0" ref="C19:D21">SUM(H19,L19,P19,T19)</f>
        <v>5933</v>
      </c>
      <c r="D19" s="6">
        <f>SUM(I19,M19,Q19,U19)</f>
        <v>671</v>
      </c>
      <c r="E19" s="6">
        <v>121</v>
      </c>
      <c r="F19" s="6">
        <v>409</v>
      </c>
      <c r="G19" s="55" t="s">
        <v>42</v>
      </c>
      <c r="H19" s="55" t="s">
        <v>42</v>
      </c>
      <c r="I19" s="55" t="s">
        <v>42</v>
      </c>
      <c r="J19" s="55" t="s">
        <v>42</v>
      </c>
      <c r="K19" s="6">
        <v>34</v>
      </c>
      <c r="L19" s="6">
        <v>528</v>
      </c>
      <c r="M19" s="6">
        <v>211</v>
      </c>
      <c r="N19" s="6">
        <v>179</v>
      </c>
      <c r="O19" s="55" t="s">
        <v>42</v>
      </c>
      <c r="P19" s="55" t="s">
        <v>42</v>
      </c>
      <c r="Q19" s="55" t="s">
        <v>42</v>
      </c>
      <c r="R19" s="55" t="s">
        <v>42</v>
      </c>
      <c r="S19" s="6">
        <v>168</v>
      </c>
      <c r="T19" s="6">
        <v>5405</v>
      </c>
      <c r="U19" s="6">
        <v>460</v>
      </c>
      <c r="V19" s="6">
        <v>351</v>
      </c>
    </row>
    <row r="20" spans="1:22" s="33" customFormat="1" ht="42" customHeight="1">
      <c r="A20" s="222" t="s">
        <v>587</v>
      </c>
      <c r="B20" s="56">
        <f>SUM(G20,K20,S20)</f>
        <v>234</v>
      </c>
      <c r="C20" s="56">
        <f t="shared" si="0"/>
        <v>8862</v>
      </c>
      <c r="D20" s="56">
        <f t="shared" si="0"/>
        <v>802</v>
      </c>
      <c r="E20" s="56">
        <f>SUM(J20,N20)</f>
        <v>137</v>
      </c>
      <c r="F20" s="56">
        <f>SUM(V20)</f>
        <v>438</v>
      </c>
      <c r="G20" s="56" t="s">
        <v>82</v>
      </c>
      <c r="H20" s="56" t="s">
        <v>82</v>
      </c>
      <c r="I20" s="65" t="s">
        <v>82</v>
      </c>
      <c r="J20" s="65" t="s">
        <v>82</v>
      </c>
      <c r="K20" s="56">
        <v>43</v>
      </c>
      <c r="L20" s="56">
        <v>855</v>
      </c>
      <c r="M20" s="65">
        <v>178</v>
      </c>
      <c r="N20" s="65">
        <v>137</v>
      </c>
      <c r="O20" s="65" t="s">
        <v>42</v>
      </c>
      <c r="P20" s="65" t="s">
        <v>42</v>
      </c>
      <c r="Q20" s="65" t="s">
        <v>42</v>
      </c>
      <c r="R20" s="65" t="s">
        <v>42</v>
      </c>
      <c r="S20" s="65">
        <f>7+184</f>
        <v>191</v>
      </c>
      <c r="T20" s="65">
        <f>202+7805</f>
        <v>8007</v>
      </c>
      <c r="U20" s="65">
        <f>15+609</f>
        <v>624</v>
      </c>
      <c r="V20" s="65">
        <f>13+425</f>
        <v>438</v>
      </c>
    </row>
    <row r="21" spans="1:22" s="33" customFormat="1" ht="42" customHeight="1">
      <c r="A21" s="222" t="s">
        <v>588</v>
      </c>
      <c r="B21" s="76">
        <f>SUM(G21,K21,O21,S21)</f>
        <v>262</v>
      </c>
      <c r="C21" s="65">
        <f t="shared" si="0"/>
        <v>10201</v>
      </c>
      <c r="D21" s="65">
        <f t="shared" si="0"/>
        <v>1034</v>
      </c>
      <c r="E21" s="65">
        <v>241</v>
      </c>
      <c r="F21" s="65">
        <f>36+V21</f>
        <v>550</v>
      </c>
      <c r="G21" s="65" t="s">
        <v>82</v>
      </c>
      <c r="H21" s="65" t="s">
        <v>82</v>
      </c>
      <c r="I21" s="65" t="s">
        <v>82</v>
      </c>
      <c r="J21" s="65" t="s">
        <v>82</v>
      </c>
      <c r="K21" s="65">
        <v>52</v>
      </c>
      <c r="L21" s="65">
        <v>980</v>
      </c>
      <c r="M21" s="65">
        <v>308</v>
      </c>
      <c r="N21" s="65">
        <v>256</v>
      </c>
      <c r="O21" s="65">
        <v>2</v>
      </c>
      <c r="P21" s="65">
        <v>105</v>
      </c>
      <c r="Q21" s="65">
        <v>23</v>
      </c>
      <c r="R21" s="65">
        <v>21</v>
      </c>
      <c r="S21" s="65">
        <v>208</v>
      </c>
      <c r="T21" s="65">
        <v>9116</v>
      </c>
      <c r="U21" s="65">
        <v>703</v>
      </c>
      <c r="V21" s="65">
        <v>514</v>
      </c>
    </row>
    <row r="22" spans="1:22" ht="42" customHeight="1">
      <c r="A22" s="222" t="s">
        <v>589</v>
      </c>
      <c r="B22" s="76">
        <f>SUM(G22,K22,O22,S22)</f>
        <v>275</v>
      </c>
      <c r="C22" s="65">
        <f aca="true" t="shared" si="1" ref="C22:D24">SUM(H22,L22,P22,T22)</f>
        <v>10618</v>
      </c>
      <c r="D22" s="65">
        <f t="shared" si="1"/>
        <v>1141</v>
      </c>
      <c r="E22" s="51">
        <v>329</v>
      </c>
      <c r="F22" s="139">
        <f>14+2+V22</f>
        <v>537</v>
      </c>
      <c r="G22" s="45" t="s">
        <v>42</v>
      </c>
      <c r="H22" s="45" t="s">
        <v>42</v>
      </c>
      <c r="I22" s="45" t="s">
        <v>42</v>
      </c>
      <c r="J22" s="45" t="s">
        <v>42</v>
      </c>
      <c r="K22" s="51">
        <v>60</v>
      </c>
      <c r="L22" s="140">
        <v>1208</v>
      </c>
      <c r="M22" s="51">
        <v>384</v>
      </c>
      <c r="N22" s="51">
        <v>324</v>
      </c>
      <c r="O22" s="51">
        <v>3</v>
      </c>
      <c r="P22" s="51">
        <v>150</v>
      </c>
      <c r="Q22" s="51">
        <v>24</v>
      </c>
      <c r="R22" s="51">
        <v>21</v>
      </c>
      <c r="S22" s="65">
        <v>212</v>
      </c>
      <c r="T22" s="65">
        <v>9260</v>
      </c>
      <c r="U22" s="65">
        <v>733</v>
      </c>
      <c r="V22" s="65">
        <v>521</v>
      </c>
    </row>
    <row r="23" spans="1:22" ht="42" customHeight="1">
      <c r="A23" s="222" t="s">
        <v>982</v>
      </c>
      <c r="B23" s="76">
        <f>SUM(G23,K23,O23,S23)</f>
        <v>283</v>
      </c>
      <c r="C23" s="65">
        <f>SUM(H23,L23,P23,T23)</f>
        <v>10631</v>
      </c>
      <c r="D23" s="65">
        <f t="shared" si="1"/>
        <v>1174</v>
      </c>
      <c r="E23" s="54">
        <v>383</v>
      </c>
      <c r="F23" s="54">
        <f>V23+4</f>
        <v>503</v>
      </c>
      <c r="G23" s="54" t="s">
        <v>42</v>
      </c>
      <c r="H23" s="45" t="s">
        <v>82</v>
      </c>
      <c r="I23" s="54" t="s">
        <v>42</v>
      </c>
      <c r="J23" s="54" t="s">
        <v>42</v>
      </c>
      <c r="K23" s="70">
        <v>66</v>
      </c>
      <c r="L23" s="416">
        <v>1488</v>
      </c>
      <c r="M23" s="70">
        <v>415</v>
      </c>
      <c r="N23" s="70">
        <v>349</v>
      </c>
      <c r="O23" s="70">
        <v>3</v>
      </c>
      <c r="P23" s="70">
        <v>150</v>
      </c>
      <c r="Q23" s="70">
        <v>41</v>
      </c>
      <c r="R23" s="70">
        <v>38</v>
      </c>
      <c r="S23" s="70">
        <v>214</v>
      </c>
      <c r="T23" s="70">
        <v>8993</v>
      </c>
      <c r="U23" s="70">
        <v>718</v>
      </c>
      <c r="V23" s="70">
        <v>499</v>
      </c>
    </row>
    <row r="24" spans="1:25" ht="42" customHeight="1" thickBot="1">
      <c r="A24" s="223" t="s">
        <v>1207</v>
      </c>
      <c r="B24" s="417">
        <f>SUM(G24,K24,O24,S24)</f>
        <v>300</v>
      </c>
      <c r="C24" s="67">
        <f>SUM(H24,L24,P24,T24)</f>
        <v>10604</v>
      </c>
      <c r="D24" s="67">
        <f t="shared" si="1"/>
        <v>1258</v>
      </c>
      <c r="E24" s="63">
        <v>422</v>
      </c>
      <c r="F24" s="75">
        <f>V24+0</f>
        <v>457</v>
      </c>
      <c r="G24" s="63" t="s">
        <v>42</v>
      </c>
      <c r="H24" s="31" t="s">
        <v>42</v>
      </c>
      <c r="I24" s="63" t="s">
        <v>42</v>
      </c>
      <c r="J24" s="63" t="s">
        <v>42</v>
      </c>
      <c r="K24" s="75">
        <v>72</v>
      </c>
      <c r="L24" s="418">
        <v>1645</v>
      </c>
      <c r="M24" s="75">
        <v>458</v>
      </c>
      <c r="N24" s="75">
        <v>386</v>
      </c>
      <c r="O24" s="75">
        <v>3</v>
      </c>
      <c r="P24" s="75">
        <v>150</v>
      </c>
      <c r="Q24" s="75">
        <v>39</v>
      </c>
      <c r="R24" s="75">
        <v>36</v>
      </c>
      <c r="S24" s="75">
        <v>225</v>
      </c>
      <c r="T24" s="75">
        <v>8809</v>
      </c>
      <c r="U24" s="75">
        <v>761</v>
      </c>
      <c r="V24" s="75">
        <v>457</v>
      </c>
      <c r="X24" s="11">
        <v>497</v>
      </c>
      <c r="Y24" s="11">
        <v>422</v>
      </c>
    </row>
    <row r="25" spans="1:19" s="174" customFormat="1" ht="14.25" customHeight="1">
      <c r="A25" s="177" t="s">
        <v>1109</v>
      </c>
      <c r="B25" s="202"/>
      <c r="C25" s="202"/>
      <c r="D25" s="202"/>
      <c r="E25" s="202"/>
      <c r="F25" s="202"/>
      <c r="G25" s="177"/>
      <c r="H25" s="177"/>
      <c r="I25" s="177"/>
      <c r="J25" s="177"/>
      <c r="K25" s="177"/>
      <c r="L25" s="177" t="s">
        <v>983</v>
      </c>
      <c r="M25" s="177"/>
      <c r="O25" s="177"/>
      <c r="P25" s="177"/>
      <c r="Q25" s="177"/>
      <c r="R25" s="177"/>
      <c r="S25" s="177"/>
    </row>
    <row r="26" spans="1:12" s="158" customFormat="1" ht="14.25" customHeight="1">
      <c r="A26" s="220" t="s">
        <v>1233</v>
      </c>
      <c r="L26" s="178" t="s">
        <v>984</v>
      </c>
    </row>
    <row r="27" s="158" customFormat="1" ht="14.25" customHeight="1">
      <c r="L27" s="178" t="s">
        <v>985</v>
      </c>
    </row>
    <row r="28" s="158" customFormat="1" ht="12.75"/>
    <row r="29" s="158" customFormat="1" ht="12.75"/>
    <row r="30" s="158" customFormat="1" ht="12.75"/>
    <row r="31" s="158" customFormat="1" ht="12.75"/>
  </sheetData>
  <sheetProtection/>
  <mergeCells count="63">
    <mergeCell ref="H16:H17"/>
    <mergeCell ref="I16:I17"/>
    <mergeCell ref="K16:K17"/>
    <mergeCell ref="L16:L17"/>
    <mergeCell ref="M16:M17"/>
    <mergeCell ref="O16:O17"/>
    <mergeCell ref="P16:P17"/>
    <mergeCell ref="Q16:Q17"/>
    <mergeCell ref="G14:J14"/>
    <mergeCell ref="K14:N14"/>
    <mergeCell ref="O14:R14"/>
    <mergeCell ref="S14:V14"/>
    <mergeCell ref="S16:S17"/>
    <mergeCell ref="T16:T17"/>
    <mergeCell ref="U16:U17"/>
    <mergeCell ref="G16:G17"/>
    <mergeCell ref="G15:J15"/>
    <mergeCell ref="K15:N15"/>
    <mergeCell ref="O15:R15"/>
    <mergeCell ref="S15:V15"/>
    <mergeCell ref="B9:C9"/>
    <mergeCell ref="B10:C10"/>
    <mergeCell ref="B11:C11"/>
    <mergeCell ref="B12:C12"/>
    <mergeCell ref="A14:A16"/>
    <mergeCell ref="B14:F14"/>
    <mergeCell ref="B16:B17"/>
    <mergeCell ref="C16:C17"/>
    <mergeCell ref="D16:D17"/>
    <mergeCell ref="A17:A18"/>
    <mergeCell ref="B15:F15"/>
    <mergeCell ref="H8:I8"/>
    <mergeCell ref="J8:K8"/>
    <mergeCell ref="L8:M8"/>
    <mergeCell ref="O8:P8"/>
    <mergeCell ref="R8:S8"/>
    <mergeCell ref="T8:U8"/>
    <mergeCell ref="O6:P6"/>
    <mergeCell ref="Q6:Q7"/>
    <mergeCell ref="R6:S7"/>
    <mergeCell ref="T6:U7"/>
    <mergeCell ref="A7:A8"/>
    <mergeCell ref="H7:I7"/>
    <mergeCell ref="O7:P7"/>
    <mergeCell ref="B8:C8"/>
    <mergeCell ref="D8:E8"/>
    <mergeCell ref="F8:G8"/>
    <mergeCell ref="D6:E7"/>
    <mergeCell ref="F6:G7"/>
    <mergeCell ref="H6:I6"/>
    <mergeCell ref="J6:K7"/>
    <mergeCell ref="L6:M7"/>
    <mergeCell ref="N6:N7"/>
    <mergeCell ref="A2:J2"/>
    <mergeCell ref="L2:V2"/>
    <mergeCell ref="A4:A6"/>
    <mergeCell ref="B4:I4"/>
    <mergeCell ref="J4:P4"/>
    <mergeCell ref="Q4:V4"/>
    <mergeCell ref="B5:I5"/>
    <mergeCell ref="J5:P5"/>
    <mergeCell ref="Q5:V5"/>
    <mergeCell ref="B6:C7"/>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colBreaks count="1" manualBreakCount="1">
    <brk id="11" max="65535" man="1"/>
  </colBreaks>
  <legacyDrawing r:id="rId2"/>
</worksheet>
</file>

<file path=xl/worksheets/sheet25.xml><?xml version="1.0" encoding="utf-8"?>
<worksheet xmlns="http://schemas.openxmlformats.org/spreadsheetml/2006/main" xmlns:r="http://schemas.openxmlformats.org/officeDocument/2006/relationships">
  <dimension ref="A1:Y36"/>
  <sheetViews>
    <sheetView showGridLines="0" view="pageBreakPreview" zoomScale="70" zoomScaleNormal="120" zoomScaleSheetLayoutView="70" zoomScalePageLayoutView="0" workbookViewId="0" topLeftCell="A1">
      <selection activeCell="F19" sqref="F19:G20"/>
    </sheetView>
  </sheetViews>
  <sheetFormatPr defaultColWidth="9.00390625" defaultRowHeight="16.5"/>
  <cols>
    <col min="1" max="1" width="8.125" style="565" customWidth="1"/>
    <col min="2" max="5" width="12.875" style="546" customWidth="1"/>
    <col min="6" max="9" width="7.125" style="546" customWidth="1"/>
    <col min="10" max="15" width="8.125" style="546" customWidth="1"/>
    <col min="16" max="17" width="11.625" style="546" customWidth="1"/>
    <col min="18" max="19" width="8.125" style="546" customWidth="1"/>
    <col min="20" max="20" width="9.00390625" style="546" customWidth="1"/>
    <col min="21" max="21" width="7.375" style="546" hidden="1" customWidth="1"/>
    <col min="22" max="28" width="0" style="546" hidden="1" customWidth="1"/>
    <col min="29" max="16384" width="9.00390625" style="546" customWidth="1"/>
  </cols>
  <sheetData>
    <row r="1" spans="1:19" s="530" customFormat="1" ht="18" customHeight="1">
      <c r="A1" s="210" t="s">
        <v>1077</v>
      </c>
      <c r="B1" s="529"/>
      <c r="C1" s="529"/>
      <c r="D1" s="529"/>
      <c r="E1" s="529"/>
      <c r="F1" s="529"/>
      <c r="G1" s="529"/>
      <c r="H1" s="529"/>
      <c r="I1" s="529"/>
      <c r="J1" s="529"/>
      <c r="K1" s="529"/>
      <c r="L1" s="529"/>
      <c r="M1" s="529"/>
      <c r="N1" s="529"/>
      <c r="O1" s="529"/>
      <c r="P1" s="529"/>
      <c r="S1" s="217" t="s">
        <v>0</v>
      </c>
    </row>
    <row r="2" spans="1:19" s="530" customFormat="1" ht="24.75" customHeight="1">
      <c r="A2" s="863" t="s">
        <v>1231</v>
      </c>
      <c r="B2" s="863"/>
      <c r="C2" s="863"/>
      <c r="D2" s="863"/>
      <c r="E2" s="863"/>
      <c r="F2" s="863"/>
      <c r="G2" s="863"/>
      <c r="H2" s="863"/>
      <c r="I2" s="863"/>
      <c r="J2" s="863" t="s">
        <v>986</v>
      </c>
      <c r="K2" s="863"/>
      <c r="L2" s="863"/>
      <c r="M2" s="863"/>
      <c r="N2" s="863"/>
      <c r="O2" s="863"/>
      <c r="P2" s="863"/>
      <c r="Q2" s="863"/>
      <c r="R2" s="863"/>
      <c r="S2" s="863"/>
    </row>
    <row r="3" spans="1:17" s="530" customFormat="1" ht="11.25" customHeight="1" thickBot="1">
      <c r="A3" s="532"/>
      <c r="B3" s="532"/>
      <c r="C3" s="532"/>
      <c r="D3" s="532"/>
      <c r="E3" s="531"/>
      <c r="F3" s="532"/>
      <c r="G3" s="531"/>
      <c r="I3" s="529"/>
      <c r="K3" s="529"/>
      <c r="L3" s="531"/>
      <c r="M3" s="529"/>
      <c r="N3" s="529"/>
      <c r="O3" s="529"/>
      <c r="P3" s="529"/>
      <c r="Q3" s="533"/>
    </row>
    <row r="4" spans="1:25" s="534" customFormat="1" ht="24.75" customHeight="1">
      <c r="A4" s="890" t="s">
        <v>1391</v>
      </c>
      <c r="B4" s="866" t="s">
        <v>1392</v>
      </c>
      <c r="C4" s="864"/>
      <c r="D4" s="864"/>
      <c r="E4" s="864"/>
      <c r="F4" s="864"/>
      <c r="G4" s="864"/>
      <c r="H4" s="864"/>
      <c r="I4" s="865"/>
      <c r="J4" s="864" t="s">
        <v>1393</v>
      </c>
      <c r="K4" s="864"/>
      <c r="L4" s="864"/>
      <c r="M4" s="864"/>
      <c r="N4" s="864"/>
      <c r="O4" s="864"/>
      <c r="P4" s="864"/>
      <c r="Q4" s="864"/>
      <c r="R4" s="864"/>
      <c r="S4" s="865"/>
      <c r="Y4" s="535" t="s">
        <v>1394</v>
      </c>
    </row>
    <row r="5" spans="1:19" s="534" customFormat="1" ht="21.75" customHeight="1">
      <c r="A5" s="891"/>
      <c r="B5" s="896" t="s">
        <v>1395</v>
      </c>
      <c r="C5" s="883" t="s">
        <v>1396</v>
      </c>
      <c r="D5" s="883"/>
      <c r="E5" s="871" t="s">
        <v>1397</v>
      </c>
      <c r="F5" s="875"/>
      <c r="G5" s="872"/>
      <c r="H5" s="871" t="s">
        <v>1398</v>
      </c>
      <c r="I5" s="872"/>
      <c r="J5" s="875" t="s">
        <v>1399</v>
      </c>
      <c r="K5" s="872"/>
      <c r="L5" s="875" t="s">
        <v>1400</v>
      </c>
      <c r="M5" s="872"/>
      <c r="N5" s="871" t="s">
        <v>1401</v>
      </c>
      <c r="O5" s="872"/>
      <c r="P5" s="871" t="s">
        <v>1402</v>
      </c>
      <c r="Q5" s="872"/>
      <c r="R5" s="871" t="s">
        <v>1403</v>
      </c>
      <c r="S5" s="872"/>
    </row>
    <row r="6" spans="1:19" s="534" customFormat="1" ht="22.5" customHeight="1">
      <c r="A6" s="891"/>
      <c r="B6" s="897"/>
      <c r="C6" s="873" t="s">
        <v>988</v>
      </c>
      <c r="D6" s="874"/>
      <c r="E6" s="876"/>
      <c r="F6" s="877"/>
      <c r="G6" s="878"/>
      <c r="H6" s="876"/>
      <c r="I6" s="878"/>
      <c r="J6" s="877"/>
      <c r="K6" s="878"/>
      <c r="L6" s="888" t="s">
        <v>989</v>
      </c>
      <c r="M6" s="874"/>
      <c r="N6" s="873" t="s">
        <v>990</v>
      </c>
      <c r="O6" s="874"/>
      <c r="P6" s="873" t="s">
        <v>991</v>
      </c>
      <c r="Q6" s="874"/>
      <c r="R6" s="873" t="s">
        <v>41</v>
      </c>
      <c r="S6" s="874"/>
    </row>
    <row r="7" spans="1:19" s="534" customFormat="1" ht="21.75" customHeight="1">
      <c r="A7" s="891" t="s">
        <v>216</v>
      </c>
      <c r="B7" s="897" t="s">
        <v>992</v>
      </c>
      <c r="C7" s="458" t="s">
        <v>1404</v>
      </c>
      <c r="D7" s="536" t="s">
        <v>1405</v>
      </c>
      <c r="E7" s="876" t="s">
        <v>1277</v>
      </c>
      <c r="F7" s="877"/>
      <c r="G7" s="878"/>
      <c r="H7" s="876" t="s">
        <v>1221</v>
      </c>
      <c r="I7" s="878"/>
      <c r="J7" s="877" t="s">
        <v>993</v>
      </c>
      <c r="K7" s="878"/>
      <c r="L7" s="521" t="s">
        <v>1224</v>
      </c>
      <c r="M7" s="458" t="s">
        <v>1222</v>
      </c>
      <c r="N7" s="458" t="s">
        <v>1224</v>
      </c>
      <c r="O7" s="458" t="s">
        <v>1222</v>
      </c>
      <c r="P7" s="458" t="s">
        <v>1223</v>
      </c>
      <c r="Q7" s="458" t="s">
        <v>1222</v>
      </c>
      <c r="R7" s="458" t="s">
        <v>1224</v>
      </c>
      <c r="S7" s="458" t="s">
        <v>1222</v>
      </c>
    </row>
    <row r="8" spans="1:19" s="534" customFormat="1" ht="45.75" customHeight="1" thickBot="1">
      <c r="A8" s="892"/>
      <c r="B8" s="906"/>
      <c r="C8" s="537" t="s">
        <v>995</v>
      </c>
      <c r="D8" s="457" t="s">
        <v>996</v>
      </c>
      <c r="E8" s="879"/>
      <c r="F8" s="880"/>
      <c r="G8" s="881"/>
      <c r="H8" s="879"/>
      <c r="I8" s="881"/>
      <c r="J8" s="880"/>
      <c r="K8" s="881"/>
      <c r="L8" s="456" t="s">
        <v>997</v>
      </c>
      <c r="M8" s="566" t="s">
        <v>998</v>
      </c>
      <c r="N8" s="457" t="s">
        <v>997</v>
      </c>
      <c r="O8" s="566" t="s">
        <v>998</v>
      </c>
      <c r="P8" s="457" t="s">
        <v>999</v>
      </c>
      <c r="Q8" s="566" t="s">
        <v>998</v>
      </c>
      <c r="R8" s="457" t="s">
        <v>997</v>
      </c>
      <c r="S8" s="566" t="s">
        <v>998</v>
      </c>
    </row>
    <row r="9" spans="1:19" s="541" customFormat="1" ht="24.75" customHeight="1">
      <c r="A9" s="538" t="s">
        <v>1406</v>
      </c>
      <c r="B9" s="539">
        <v>1</v>
      </c>
      <c r="C9" s="539">
        <v>1</v>
      </c>
      <c r="D9" s="539">
        <v>181</v>
      </c>
      <c r="E9" s="882" t="s">
        <v>82</v>
      </c>
      <c r="F9" s="882"/>
      <c r="G9" s="882"/>
      <c r="H9" s="870">
        <v>355</v>
      </c>
      <c r="I9" s="870"/>
      <c r="J9" s="868">
        <v>473</v>
      </c>
      <c r="K9" s="868"/>
      <c r="L9" s="539">
        <v>25</v>
      </c>
      <c r="M9" s="539">
        <v>1366</v>
      </c>
      <c r="N9" s="540">
        <v>82</v>
      </c>
      <c r="O9" s="539">
        <v>6950</v>
      </c>
      <c r="P9" s="539">
        <v>205</v>
      </c>
      <c r="Q9" s="539">
        <v>10260</v>
      </c>
      <c r="R9" s="539">
        <v>126</v>
      </c>
      <c r="S9" s="539">
        <v>8411</v>
      </c>
    </row>
    <row r="10" spans="1:19" s="541" customFormat="1" ht="24.75" customHeight="1">
      <c r="A10" s="538" t="s">
        <v>1407</v>
      </c>
      <c r="B10" s="539">
        <v>1</v>
      </c>
      <c r="C10" s="539">
        <v>1</v>
      </c>
      <c r="D10" s="539">
        <v>287</v>
      </c>
      <c r="E10" s="868" t="s">
        <v>82</v>
      </c>
      <c r="F10" s="868"/>
      <c r="G10" s="868"/>
      <c r="H10" s="870">
        <v>423</v>
      </c>
      <c r="I10" s="870"/>
      <c r="J10" s="868">
        <v>68</v>
      </c>
      <c r="K10" s="868"/>
      <c r="L10" s="539">
        <v>2</v>
      </c>
      <c r="M10" s="539">
        <v>290</v>
      </c>
      <c r="N10" s="540">
        <v>404</v>
      </c>
      <c r="O10" s="539">
        <v>16238</v>
      </c>
      <c r="P10" s="539">
        <v>74</v>
      </c>
      <c r="Q10" s="539">
        <v>3830</v>
      </c>
      <c r="R10" s="539">
        <v>1182</v>
      </c>
      <c r="S10" s="539">
        <v>63502</v>
      </c>
    </row>
    <row r="11" spans="1:19" s="541" customFormat="1" ht="24.75" customHeight="1">
      <c r="A11" s="538" t="s">
        <v>1408</v>
      </c>
      <c r="B11" s="539">
        <v>1</v>
      </c>
      <c r="C11" s="539">
        <v>1</v>
      </c>
      <c r="D11" s="539">
        <v>322</v>
      </c>
      <c r="E11" s="868" t="s">
        <v>82</v>
      </c>
      <c r="F11" s="868"/>
      <c r="G11" s="868"/>
      <c r="H11" s="870">
        <v>292</v>
      </c>
      <c r="I11" s="870"/>
      <c r="J11" s="868">
        <v>311</v>
      </c>
      <c r="K11" s="868"/>
      <c r="L11" s="539">
        <v>1</v>
      </c>
      <c r="M11" s="539">
        <v>560</v>
      </c>
      <c r="N11" s="540">
        <v>383</v>
      </c>
      <c r="O11" s="539">
        <v>21140</v>
      </c>
      <c r="P11" s="539">
        <v>55</v>
      </c>
      <c r="Q11" s="539">
        <v>4070</v>
      </c>
      <c r="R11" s="539">
        <v>1973</v>
      </c>
      <c r="S11" s="539">
        <v>117524</v>
      </c>
    </row>
    <row r="12" spans="1:19" s="541" customFormat="1" ht="24.75" customHeight="1">
      <c r="A12" s="538" t="s">
        <v>1409</v>
      </c>
      <c r="B12" s="539">
        <v>1</v>
      </c>
      <c r="C12" s="539">
        <v>1</v>
      </c>
      <c r="D12" s="539">
        <v>212</v>
      </c>
      <c r="E12" s="868">
        <v>1</v>
      </c>
      <c r="F12" s="868"/>
      <c r="G12" s="868"/>
      <c r="H12" s="870">
        <v>592</v>
      </c>
      <c r="I12" s="870"/>
      <c r="J12" s="868">
        <v>1007</v>
      </c>
      <c r="K12" s="868"/>
      <c r="L12" s="539" t="s">
        <v>82</v>
      </c>
      <c r="M12" s="539" t="s">
        <v>82</v>
      </c>
      <c r="N12" s="540">
        <v>744</v>
      </c>
      <c r="O12" s="539">
        <v>20934</v>
      </c>
      <c r="P12" s="539">
        <v>66</v>
      </c>
      <c r="Q12" s="539">
        <v>1560</v>
      </c>
      <c r="R12" s="539">
        <v>2217</v>
      </c>
      <c r="S12" s="539">
        <v>124488</v>
      </c>
    </row>
    <row r="13" spans="1:19" s="541" customFormat="1" ht="24.75" customHeight="1">
      <c r="A13" s="538" t="s">
        <v>1410</v>
      </c>
      <c r="B13" s="539">
        <v>1</v>
      </c>
      <c r="C13" s="539">
        <v>2</v>
      </c>
      <c r="D13" s="539">
        <v>392</v>
      </c>
      <c r="E13" s="868">
        <v>1</v>
      </c>
      <c r="F13" s="868"/>
      <c r="G13" s="868"/>
      <c r="H13" s="868">
        <v>137</v>
      </c>
      <c r="I13" s="868"/>
      <c r="J13" s="868">
        <v>47</v>
      </c>
      <c r="K13" s="868"/>
      <c r="L13" s="539" t="s">
        <v>82</v>
      </c>
      <c r="M13" s="539" t="s">
        <v>82</v>
      </c>
      <c r="N13" s="539">
        <v>808</v>
      </c>
      <c r="O13" s="539">
        <v>10920</v>
      </c>
      <c r="P13" s="539">
        <v>48</v>
      </c>
      <c r="Q13" s="539">
        <v>1775</v>
      </c>
      <c r="R13" s="542" t="s">
        <v>92</v>
      </c>
      <c r="S13" s="542" t="s">
        <v>92</v>
      </c>
    </row>
    <row r="14" spans="1:19" ht="24.75" customHeight="1" thickBot="1">
      <c r="A14" s="538" t="s">
        <v>1411</v>
      </c>
      <c r="B14" s="543">
        <v>1</v>
      </c>
      <c r="C14" s="544">
        <v>2</v>
      </c>
      <c r="D14" s="544">
        <v>717</v>
      </c>
      <c r="E14" s="869">
        <v>1</v>
      </c>
      <c r="F14" s="869"/>
      <c r="G14" s="869"/>
      <c r="H14" s="869">
        <v>6363</v>
      </c>
      <c r="I14" s="869"/>
      <c r="J14" s="889">
        <v>2062</v>
      </c>
      <c r="K14" s="889"/>
      <c r="L14" s="544">
        <v>13</v>
      </c>
      <c r="M14" s="544">
        <v>921</v>
      </c>
      <c r="N14" s="544">
        <v>208</v>
      </c>
      <c r="O14" s="544">
        <v>3779</v>
      </c>
      <c r="P14" s="544">
        <v>152</v>
      </c>
      <c r="Q14" s="545">
        <v>4944</v>
      </c>
      <c r="R14" s="545">
        <v>1541</v>
      </c>
      <c r="S14" s="545">
        <v>71111</v>
      </c>
    </row>
    <row r="15" spans="1:18" s="551" customFormat="1" ht="3" customHeight="1" thickBot="1">
      <c r="A15" s="547"/>
      <c r="B15" s="548"/>
      <c r="C15" s="548"/>
      <c r="D15" s="548"/>
      <c r="E15" s="548"/>
      <c r="F15" s="549"/>
      <c r="G15" s="549"/>
      <c r="H15" s="549"/>
      <c r="I15" s="549"/>
      <c r="J15" s="549"/>
      <c r="K15" s="549"/>
      <c r="L15" s="549"/>
      <c r="M15" s="549"/>
      <c r="N15" s="549"/>
      <c r="O15" s="549"/>
      <c r="P15" s="549"/>
      <c r="Q15" s="544"/>
      <c r="R15" s="550"/>
    </row>
    <row r="16" spans="1:19" s="534" customFormat="1" ht="24.75" customHeight="1">
      <c r="A16" s="890" t="s">
        <v>1391</v>
      </c>
      <c r="B16" s="866" t="s">
        <v>1392</v>
      </c>
      <c r="C16" s="864"/>
      <c r="D16" s="864"/>
      <c r="E16" s="865"/>
      <c r="F16" s="867" t="s">
        <v>1393</v>
      </c>
      <c r="G16" s="864"/>
      <c r="H16" s="864"/>
      <c r="I16" s="864"/>
      <c r="J16" s="864" t="s">
        <v>1393</v>
      </c>
      <c r="K16" s="864"/>
      <c r="L16" s="864"/>
      <c r="M16" s="864"/>
      <c r="N16" s="864"/>
      <c r="O16" s="864"/>
      <c r="P16" s="864"/>
      <c r="Q16" s="864"/>
      <c r="R16" s="864"/>
      <c r="S16" s="865"/>
    </row>
    <row r="17" spans="1:19" s="534" customFormat="1" ht="21.75" customHeight="1">
      <c r="A17" s="891"/>
      <c r="B17" s="896" t="s">
        <v>1395</v>
      </c>
      <c r="C17" s="883" t="s">
        <v>1396</v>
      </c>
      <c r="D17" s="883"/>
      <c r="E17" s="883" t="s">
        <v>1397</v>
      </c>
      <c r="F17" s="871" t="s">
        <v>1412</v>
      </c>
      <c r="G17" s="872"/>
      <c r="H17" s="871" t="s">
        <v>1413</v>
      </c>
      <c r="I17" s="872"/>
      <c r="J17" s="875" t="s">
        <v>1321</v>
      </c>
      <c r="K17" s="872"/>
      <c r="L17" s="875" t="s">
        <v>1414</v>
      </c>
      <c r="M17" s="872"/>
      <c r="N17" s="871" t="s">
        <v>1415</v>
      </c>
      <c r="O17" s="872"/>
      <c r="P17" s="871" t="s">
        <v>1416</v>
      </c>
      <c r="Q17" s="872"/>
      <c r="R17" s="871" t="s">
        <v>1403</v>
      </c>
      <c r="S17" s="872"/>
    </row>
    <row r="18" spans="1:19" s="534" customFormat="1" ht="22.5" customHeight="1">
      <c r="A18" s="891"/>
      <c r="B18" s="897"/>
      <c r="C18" s="907" t="s">
        <v>988</v>
      </c>
      <c r="D18" s="907"/>
      <c r="E18" s="884"/>
      <c r="F18" s="876"/>
      <c r="G18" s="878"/>
      <c r="H18" s="876"/>
      <c r="I18" s="878"/>
      <c r="J18" s="888" t="s">
        <v>1000</v>
      </c>
      <c r="K18" s="874"/>
      <c r="L18" s="888" t="s">
        <v>1001</v>
      </c>
      <c r="M18" s="874"/>
      <c r="N18" s="873" t="s">
        <v>1002</v>
      </c>
      <c r="O18" s="874"/>
      <c r="P18" s="873" t="s">
        <v>1003</v>
      </c>
      <c r="Q18" s="874"/>
      <c r="R18" s="873" t="s">
        <v>41</v>
      </c>
      <c r="S18" s="874"/>
    </row>
    <row r="19" spans="1:19" s="534" customFormat="1" ht="21.75" customHeight="1">
      <c r="A19" s="891" t="s">
        <v>216</v>
      </c>
      <c r="B19" s="897" t="s">
        <v>992</v>
      </c>
      <c r="C19" s="458" t="s">
        <v>1404</v>
      </c>
      <c r="D19" s="458" t="s">
        <v>1405</v>
      </c>
      <c r="E19" s="884" t="s">
        <v>1278</v>
      </c>
      <c r="F19" s="876" t="s">
        <v>1232</v>
      </c>
      <c r="G19" s="878"/>
      <c r="H19" s="876" t="s">
        <v>1004</v>
      </c>
      <c r="I19" s="878"/>
      <c r="J19" s="521" t="s">
        <v>1224</v>
      </c>
      <c r="K19" s="521" t="s">
        <v>1225</v>
      </c>
      <c r="L19" s="458" t="s">
        <v>1224</v>
      </c>
      <c r="M19" s="458" t="s">
        <v>1225</v>
      </c>
      <c r="N19" s="458" t="s">
        <v>1224</v>
      </c>
      <c r="O19" s="458" t="s">
        <v>1222</v>
      </c>
      <c r="P19" s="458" t="s">
        <v>1223</v>
      </c>
      <c r="Q19" s="458" t="s">
        <v>1222</v>
      </c>
      <c r="R19" s="458" t="s">
        <v>1224</v>
      </c>
      <c r="S19" s="458" t="s">
        <v>1222</v>
      </c>
    </row>
    <row r="20" spans="1:19" s="534" customFormat="1" ht="45.75" customHeight="1" thickBot="1">
      <c r="A20" s="892"/>
      <c r="B20" s="906"/>
      <c r="C20" s="457" t="s">
        <v>995</v>
      </c>
      <c r="D20" s="457" t="s">
        <v>996</v>
      </c>
      <c r="E20" s="885"/>
      <c r="F20" s="879"/>
      <c r="G20" s="881"/>
      <c r="H20" s="879"/>
      <c r="I20" s="881"/>
      <c r="J20" s="456" t="s">
        <v>997</v>
      </c>
      <c r="K20" s="566" t="s">
        <v>1005</v>
      </c>
      <c r="L20" s="457" t="s">
        <v>997</v>
      </c>
      <c r="M20" s="566" t="s">
        <v>998</v>
      </c>
      <c r="N20" s="457" t="s">
        <v>997</v>
      </c>
      <c r="O20" s="566" t="s">
        <v>998</v>
      </c>
      <c r="P20" s="457" t="s">
        <v>1006</v>
      </c>
      <c r="Q20" s="566" t="s">
        <v>998</v>
      </c>
      <c r="R20" s="457" t="s">
        <v>997</v>
      </c>
      <c r="S20" s="566" t="s">
        <v>998</v>
      </c>
    </row>
    <row r="21" spans="1:19" ht="24.75" customHeight="1">
      <c r="A21" s="538" t="s">
        <v>1417</v>
      </c>
      <c r="B21" s="552">
        <v>16</v>
      </c>
      <c r="C21" s="553">
        <v>2</v>
      </c>
      <c r="D21" s="553">
        <v>357</v>
      </c>
      <c r="E21" s="554">
        <v>1</v>
      </c>
      <c r="F21" s="859">
        <v>23712</v>
      </c>
      <c r="G21" s="859"/>
      <c r="H21" s="859">
        <v>3088</v>
      </c>
      <c r="I21" s="859"/>
      <c r="J21" s="555">
        <v>1804</v>
      </c>
      <c r="K21" s="555">
        <v>167147</v>
      </c>
      <c r="L21" s="555">
        <v>345</v>
      </c>
      <c r="M21" s="555">
        <v>31018</v>
      </c>
      <c r="N21" s="555">
        <v>54</v>
      </c>
      <c r="O21" s="555">
        <v>1890</v>
      </c>
      <c r="P21" s="555">
        <v>87</v>
      </c>
      <c r="Q21" s="555">
        <v>5648</v>
      </c>
      <c r="R21" s="555">
        <v>883</v>
      </c>
      <c r="S21" s="555">
        <v>54957</v>
      </c>
    </row>
    <row r="22" spans="1:19" ht="24.75" customHeight="1">
      <c r="A22" s="538" t="s">
        <v>1418</v>
      </c>
      <c r="B22" s="552">
        <v>17</v>
      </c>
      <c r="C22" s="553">
        <v>2</v>
      </c>
      <c r="D22" s="553">
        <v>484</v>
      </c>
      <c r="E22" s="554">
        <v>1</v>
      </c>
      <c r="F22" s="860">
        <v>65955</v>
      </c>
      <c r="G22" s="860"/>
      <c r="H22" s="860">
        <v>11910</v>
      </c>
      <c r="I22" s="860"/>
      <c r="J22" s="556">
        <v>3887</v>
      </c>
      <c r="K22" s="556">
        <v>274242</v>
      </c>
      <c r="L22" s="556">
        <v>216</v>
      </c>
      <c r="M22" s="556">
        <v>2700</v>
      </c>
      <c r="N22" s="556">
        <v>14</v>
      </c>
      <c r="O22" s="556">
        <v>624</v>
      </c>
      <c r="P22" s="556">
        <v>96</v>
      </c>
      <c r="Q22" s="556">
        <v>3359</v>
      </c>
      <c r="R22" s="556">
        <v>205</v>
      </c>
      <c r="S22" s="556">
        <v>122661</v>
      </c>
    </row>
    <row r="23" spans="1:19" s="541" customFormat="1" ht="24.75" customHeight="1" thickBot="1">
      <c r="A23" s="557" t="s">
        <v>1419</v>
      </c>
      <c r="B23" s="558">
        <v>23</v>
      </c>
      <c r="C23" s="558">
        <v>2</v>
      </c>
      <c r="D23" s="558">
        <v>444</v>
      </c>
      <c r="E23" s="558">
        <v>1</v>
      </c>
      <c r="F23" s="861">
        <v>84101</v>
      </c>
      <c r="G23" s="861"/>
      <c r="H23" s="862">
        <v>16511</v>
      </c>
      <c r="I23" s="862"/>
      <c r="J23" s="559">
        <v>3703</v>
      </c>
      <c r="K23" s="558">
        <v>398059</v>
      </c>
      <c r="L23" s="558">
        <v>317</v>
      </c>
      <c r="M23" s="558">
        <v>4459</v>
      </c>
      <c r="N23" s="559">
        <v>28</v>
      </c>
      <c r="O23" s="558">
        <v>1091</v>
      </c>
      <c r="P23" s="558">
        <v>228</v>
      </c>
      <c r="Q23" s="558">
        <v>11636</v>
      </c>
      <c r="R23" s="558">
        <v>164</v>
      </c>
      <c r="S23" s="558">
        <v>111182</v>
      </c>
    </row>
    <row r="24" spans="1:19" s="541" customFormat="1" ht="3" customHeight="1" thickBot="1">
      <c r="A24" s="560"/>
      <c r="B24" s="539"/>
      <c r="C24" s="539"/>
      <c r="D24" s="539"/>
      <c r="E24" s="539"/>
      <c r="F24" s="539"/>
      <c r="G24" s="540"/>
      <c r="H24" s="540"/>
      <c r="I24" s="539"/>
      <c r="J24" s="539"/>
      <c r="K24" s="539"/>
      <c r="L24" s="540"/>
      <c r="M24" s="539"/>
      <c r="N24" s="539"/>
      <c r="O24" s="539"/>
      <c r="P24" s="539"/>
      <c r="Q24" s="539"/>
      <c r="R24" s="561"/>
      <c r="S24" s="561"/>
    </row>
    <row r="25" spans="1:19" s="541" customFormat="1" ht="24.75" customHeight="1">
      <c r="A25" s="890" t="s">
        <v>1391</v>
      </c>
      <c r="B25" s="893" t="s">
        <v>1420</v>
      </c>
      <c r="C25" s="894"/>
      <c r="D25" s="894"/>
      <c r="E25" s="895"/>
      <c r="F25" s="867" t="s">
        <v>1393</v>
      </c>
      <c r="G25" s="864"/>
      <c r="H25" s="864"/>
      <c r="I25" s="864"/>
      <c r="J25" s="864" t="s">
        <v>1393</v>
      </c>
      <c r="K25" s="864"/>
      <c r="L25" s="864"/>
      <c r="M25" s="864"/>
      <c r="N25" s="864"/>
      <c r="O25" s="864"/>
      <c r="P25" s="864"/>
      <c r="Q25" s="864"/>
      <c r="R25" s="864"/>
      <c r="S25" s="865"/>
    </row>
    <row r="26" spans="1:19" s="541" customFormat="1" ht="21.75" customHeight="1">
      <c r="A26" s="891"/>
      <c r="B26" s="896" t="s">
        <v>1395</v>
      </c>
      <c r="C26" s="883" t="s">
        <v>1396</v>
      </c>
      <c r="D26" s="883"/>
      <c r="E26" s="883" t="s">
        <v>1421</v>
      </c>
      <c r="F26" s="871" t="s">
        <v>1321</v>
      </c>
      <c r="G26" s="872"/>
      <c r="H26" s="871" t="s">
        <v>1422</v>
      </c>
      <c r="I26" s="872"/>
      <c r="J26" s="875" t="s">
        <v>1423</v>
      </c>
      <c r="K26" s="872"/>
      <c r="L26" s="871" t="s">
        <v>1424</v>
      </c>
      <c r="M26" s="872"/>
      <c r="N26" s="871" t="s">
        <v>1425</v>
      </c>
      <c r="O26" s="872"/>
      <c r="P26" s="871" t="s">
        <v>1426</v>
      </c>
      <c r="Q26" s="872"/>
      <c r="R26" s="871" t="s">
        <v>1403</v>
      </c>
      <c r="S26" s="872"/>
    </row>
    <row r="27" spans="1:19" s="541" customFormat="1" ht="22.5" customHeight="1">
      <c r="A27" s="891"/>
      <c r="B27" s="897"/>
      <c r="C27" s="900" t="s">
        <v>988</v>
      </c>
      <c r="D27" s="901"/>
      <c r="E27" s="884"/>
      <c r="F27" s="904" t="s">
        <v>1219</v>
      </c>
      <c r="G27" s="905"/>
      <c r="H27" s="873" t="s">
        <v>1216</v>
      </c>
      <c r="I27" s="874"/>
      <c r="J27" s="888" t="s">
        <v>1220</v>
      </c>
      <c r="K27" s="874"/>
      <c r="L27" s="873" t="s">
        <v>1003</v>
      </c>
      <c r="M27" s="874"/>
      <c r="N27" s="873" t="s">
        <v>1267</v>
      </c>
      <c r="O27" s="874"/>
      <c r="P27" s="886" t="s">
        <v>1433</v>
      </c>
      <c r="Q27" s="887"/>
      <c r="R27" s="873" t="s">
        <v>41</v>
      </c>
      <c r="S27" s="874"/>
    </row>
    <row r="28" spans="1:19" s="541" customFormat="1" ht="21.75" customHeight="1">
      <c r="A28" s="891" t="s">
        <v>216</v>
      </c>
      <c r="B28" s="898" t="s">
        <v>1217</v>
      </c>
      <c r="C28" s="458" t="s">
        <v>1404</v>
      </c>
      <c r="D28" s="458" t="s">
        <v>1405</v>
      </c>
      <c r="E28" s="902" t="s">
        <v>1218</v>
      </c>
      <c r="F28" s="458" t="s">
        <v>1224</v>
      </c>
      <c r="G28" s="521" t="s">
        <v>1225</v>
      </c>
      <c r="H28" s="458" t="s">
        <v>1224</v>
      </c>
      <c r="I28" s="521" t="s">
        <v>1225</v>
      </c>
      <c r="J28" s="521" t="s">
        <v>1224</v>
      </c>
      <c r="K28" s="521" t="s">
        <v>1225</v>
      </c>
      <c r="L28" s="521" t="s">
        <v>1224</v>
      </c>
      <c r="M28" s="521" t="s">
        <v>1225</v>
      </c>
      <c r="N28" s="521" t="s">
        <v>1224</v>
      </c>
      <c r="O28" s="521" t="s">
        <v>1225</v>
      </c>
      <c r="P28" s="521" t="s">
        <v>1224</v>
      </c>
      <c r="Q28" s="521" t="s">
        <v>1225</v>
      </c>
      <c r="R28" s="521" t="s">
        <v>1224</v>
      </c>
      <c r="S28" s="521" t="s">
        <v>1225</v>
      </c>
    </row>
    <row r="29" spans="1:19" s="541" customFormat="1" ht="45.75" customHeight="1" thickBot="1">
      <c r="A29" s="892"/>
      <c r="B29" s="899"/>
      <c r="C29" s="457" t="s">
        <v>995</v>
      </c>
      <c r="D29" s="457" t="s">
        <v>996</v>
      </c>
      <c r="E29" s="903"/>
      <c r="F29" s="457" t="s">
        <v>997</v>
      </c>
      <c r="G29" s="566" t="s">
        <v>1005</v>
      </c>
      <c r="H29" s="457" t="s">
        <v>997</v>
      </c>
      <c r="I29" s="566" t="s">
        <v>1005</v>
      </c>
      <c r="J29" s="456" t="s">
        <v>997</v>
      </c>
      <c r="K29" s="566" t="s">
        <v>998</v>
      </c>
      <c r="L29" s="457" t="s">
        <v>997</v>
      </c>
      <c r="M29" s="566" t="s">
        <v>998</v>
      </c>
      <c r="N29" s="457" t="s">
        <v>997</v>
      </c>
      <c r="O29" s="566" t="s">
        <v>998</v>
      </c>
      <c r="P29" s="457" t="s">
        <v>1230</v>
      </c>
      <c r="Q29" s="566" t="s">
        <v>998</v>
      </c>
      <c r="R29" s="457" t="s">
        <v>997</v>
      </c>
      <c r="S29" s="566" t="s">
        <v>998</v>
      </c>
    </row>
    <row r="30" spans="1:19" s="541" customFormat="1" ht="24.75" customHeight="1" thickBot="1">
      <c r="A30" s="557" t="s">
        <v>1427</v>
      </c>
      <c r="B30" s="558">
        <v>23</v>
      </c>
      <c r="C30" s="558">
        <v>2</v>
      </c>
      <c r="D30" s="558">
        <v>466</v>
      </c>
      <c r="E30" s="558">
        <v>1</v>
      </c>
      <c r="F30" s="558">
        <v>1524</v>
      </c>
      <c r="G30" s="559">
        <v>232197</v>
      </c>
      <c r="H30" s="559">
        <v>9</v>
      </c>
      <c r="I30" s="558">
        <v>360</v>
      </c>
      <c r="J30" s="558">
        <v>6</v>
      </c>
      <c r="K30" s="558">
        <v>324</v>
      </c>
      <c r="L30" s="559">
        <v>147</v>
      </c>
      <c r="M30" s="558">
        <v>9447</v>
      </c>
      <c r="N30" s="558">
        <v>11</v>
      </c>
      <c r="O30" s="558">
        <v>442</v>
      </c>
      <c r="P30" s="558">
        <v>24</v>
      </c>
      <c r="Q30" s="558">
        <v>1331</v>
      </c>
      <c r="R30" s="562">
        <v>889</v>
      </c>
      <c r="S30" s="558">
        <v>56464</v>
      </c>
    </row>
    <row r="31" spans="1:20" s="564" customFormat="1" ht="10.5" customHeight="1">
      <c r="A31" s="365" t="s">
        <v>1428</v>
      </c>
      <c r="B31" s="563"/>
      <c r="C31" s="563"/>
      <c r="D31" s="563"/>
      <c r="E31" s="563"/>
      <c r="F31" s="563"/>
      <c r="G31" s="563"/>
      <c r="I31" s="365"/>
      <c r="J31" s="365" t="s">
        <v>126</v>
      </c>
      <c r="K31" s="365"/>
      <c r="L31" s="365"/>
      <c r="N31" s="365"/>
      <c r="P31" s="365"/>
      <c r="Q31" s="365"/>
      <c r="R31" s="365"/>
      <c r="S31" s="365"/>
      <c r="T31" s="365"/>
    </row>
    <row r="32" spans="1:10" s="565" customFormat="1" ht="10.5" customHeight="1">
      <c r="A32" s="565" t="s">
        <v>1429</v>
      </c>
      <c r="J32" s="565" t="s">
        <v>1226</v>
      </c>
    </row>
    <row r="33" spans="1:10" s="565" customFormat="1" ht="10.5" customHeight="1">
      <c r="A33" s="565" t="s">
        <v>1430</v>
      </c>
      <c r="J33" s="565" t="s">
        <v>1227</v>
      </c>
    </row>
    <row r="34" spans="1:10" s="565" customFormat="1" ht="10.5" customHeight="1">
      <c r="A34" s="365" t="s">
        <v>1431</v>
      </c>
      <c r="J34" s="565" t="s">
        <v>1228</v>
      </c>
    </row>
    <row r="35" spans="1:10" s="565" customFormat="1" ht="10.5" customHeight="1">
      <c r="A35" s="565" t="s">
        <v>1432</v>
      </c>
      <c r="J35" s="565" t="s">
        <v>1229</v>
      </c>
    </row>
    <row r="36" s="565" customFormat="1" ht="10.5" customHeight="1">
      <c r="J36" s="565" t="s">
        <v>1290</v>
      </c>
    </row>
    <row r="37" s="565" customFormat="1" ht="13.5"/>
    <row r="38" s="565" customFormat="1" ht="13.5"/>
  </sheetData>
  <sheetProtection/>
  <mergeCells count="98">
    <mergeCell ref="J18:K18"/>
    <mergeCell ref="L18:M18"/>
    <mergeCell ref="N18:O18"/>
    <mergeCell ref="P18:Q18"/>
    <mergeCell ref="B17:B18"/>
    <mergeCell ref="F19:G20"/>
    <mergeCell ref="H19:I20"/>
    <mergeCell ref="E17:E18"/>
    <mergeCell ref="C17:D17"/>
    <mergeCell ref="F17:G18"/>
    <mergeCell ref="A4:A6"/>
    <mergeCell ref="B5:B6"/>
    <mergeCell ref="C5:D5"/>
    <mergeCell ref="L5:M5"/>
    <mergeCell ref="N5:O5"/>
    <mergeCell ref="P5:Q5"/>
    <mergeCell ref="C6:D6"/>
    <mergeCell ref="L6:M6"/>
    <mergeCell ref="N6:O6"/>
    <mergeCell ref="A7:A8"/>
    <mergeCell ref="B7:B8"/>
    <mergeCell ref="A16:A18"/>
    <mergeCell ref="B16:E16"/>
    <mergeCell ref="F25:I25"/>
    <mergeCell ref="A19:A20"/>
    <mergeCell ref="B19:B20"/>
    <mergeCell ref="C18:D18"/>
    <mergeCell ref="H17:I18"/>
    <mergeCell ref="A28:A29"/>
    <mergeCell ref="B25:E25"/>
    <mergeCell ref="B26:B27"/>
    <mergeCell ref="B28:B29"/>
    <mergeCell ref="C26:D26"/>
    <mergeCell ref="C27:D27"/>
    <mergeCell ref="E28:E29"/>
    <mergeCell ref="R17:S17"/>
    <mergeCell ref="J25:S25"/>
    <mergeCell ref="H27:I27"/>
    <mergeCell ref="J26:K26"/>
    <mergeCell ref="L26:M26"/>
    <mergeCell ref="A25:A27"/>
    <mergeCell ref="F26:G26"/>
    <mergeCell ref="F27:G27"/>
    <mergeCell ref="R18:S18"/>
    <mergeCell ref="P17:Q17"/>
    <mergeCell ref="P26:Q26"/>
    <mergeCell ref="P27:Q27"/>
    <mergeCell ref="N26:O26"/>
    <mergeCell ref="J27:K27"/>
    <mergeCell ref="J14:K14"/>
    <mergeCell ref="L27:M27"/>
    <mergeCell ref="N27:O27"/>
    <mergeCell ref="J17:K17"/>
    <mergeCell ref="L17:M17"/>
    <mergeCell ref="N17:O17"/>
    <mergeCell ref="J5:K6"/>
    <mergeCell ref="E10:G10"/>
    <mergeCell ref="E11:G11"/>
    <mergeCell ref="E9:G9"/>
    <mergeCell ref="R26:S26"/>
    <mergeCell ref="H26:I26"/>
    <mergeCell ref="E26:E27"/>
    <mergeCell ref="E19:E20"/>
    <mergeCell ref="J9:K9"/>
    <mergeCell ref="R27:S27"/>
    <mergeCell ref="J10:K10"/>
    <mergeCell ref="J11:K11"/>
    <mergeCell ref="R5:S5"/>
    <mergeCell ref="R6:S6"/>
    <mergeCell ref="E5:G6"/>
    <mergeCell ref="E7:G8"/>
    <mergeCell ref="J7:K8"/>
    <mergeCell ref="P6:Q6"/>
    <mergeCell ref="H5:I6"/>
    <mergeCell ref="H7:I8"/>
    <mergeCell ref="E13:G13"/>
    <mergeCell ref="H12:I12"/>
    <mergeCell ref="H13:I13"/>
    <mergeCell ref="H14:I14"/>
    <mergeCell ref="H9:I9"/>
    <mergeCell ref="H10:I10"/>
    <mergeCell ref="H11:I11"/>
    <mergeCell ref="J2:S2"/>
    <mergeCell ref="A2:I2"/>
    <mergeCell ref="J4:S4"/>
    <mergeCell ref="B4:I4"/>
    <mergeCell ref="F16:I16"/>
    <mergeCell ref="J16:S16"/>
    <mergeCell ref="J12:K12"/>
    <mergeCell ref="J13:K13"/>
    <mergeCell ref="E14:G14"/>
    <mergeCell ref="E12:G12"/>
    <mergeCell ref="F21:G21"/>
    <mergeCell ref="F22:G22"/>
    <mergeCell ref="F23:G23"/>
    <mergeCell ref="H21:I21"/>
    <mergeCell ref="H22:I22"/>
    <mergeCell ref="H23:I23"/>
  </mergeCells>
  <printOptions horizontalCentered="1"/>
  <pageMargins left="0.6692913385826772" right="0.6692913385826772" top="0.6692913385826772" bottom="0.6692913385826772" header="0.2755905511811024" footer="0.2755905511811024"/>
  <pageSetup firstPageNumber="352" useFirstPageNumber="1" fitToWidth="2" horizontalDpi="600" verticalDpi="600" orientation="portrait" paperSize="9" r:id="rId1"/>
  <colBreaks count="1" manualBreakCount="1">
    <brk id="9" max="65535" man="1"/>
  </colBreaks>
</worksheet>
</file>

<file path=xl/worksheets/sheet26.xml><?xml version="1.0" encoding="utf-8"?>
<worksheet xmlns="http://schemas.openxmlformats.org/spreadsheetml/2006/main" xmlns:r="http://schemas.openxmlformats.org/officeDocument/2006/relationships">
  <dimension ref="A1:T33"/>
  <sheetViews>
    <sheetView showGridLines="0" view="pageBreakPreview" zoomScale="70" zoomScaleNormal="120" zoomScaleSheetLayoutView="70" zoomScalePageLayoutView="0" workbookViewId="0" topLeftCell="A1">
      <selection activeCell="A2" sqref="A2:H2"/>
    </sheetView>
  </sheetViews>
  <sheetFormatPr defaultColWidth="9.00390625" defaultRowHeight="16.5"/>
  <cols>
    <col min="1" max="1" width="9.625" style="461" customWidth="1"/>
    <col min="2" max="12" width="10.625" style="462" customWidth="1"/>
    <col min="13" max="14" width="11.625" style="462" customWidth="1"/>
    <col min="15" max="16" width="10.625" style="462" customWidth="1"/>
    <col min="17" max="16384" width="9.00390625" style="462" customWidth="1"/>
  </cols>
  <sheetData>
    <row r="1" spans="1:16" s="218" customFormat="1" ht="18" customHeight="1">
      <c r="A1" s="210" t="s">
        <v>1077</v>
      </c>
      <c r="B1" s="216"/>
      <c r="P1" s="217" t="s">
        <v>0</v>
      </c>
    </row>
    <row r="2" spans="1:18" s="218" customFormat="1" ht="24.75" customHeight="1">
      <c r="A2" s="863" t="s">
        <v>1234</v>
      </c>
      <c r="B2" s="863"/>
      <c r="C2" s="863"/>
      <c r="D2" s="863"/>
      <c r="E2" s="863"/>
      <c r="F2" s="863"/>
      <c r="G2" s="863"/>
      <c r="H2" s="863"/>
      <c r="I2" s="863" t="s">
        <v>1007</v>
      </c>
      <c r="J2" s="863"/>
      <c r="K2" s="863"/>
      <c r="L2" s="863"/>
      <c r="M2" s="863"/>
      <c r="N2" s="863"/>
      <c r="O2" s="863"/>
      <c r="P2" s="863"/>
      <c r="Q2" s="214"/>
      <c r="R2" s="214"/>
    </row>
    <row r="3" spans="1:16" s="218" customFormat="1" ht="11.25" customHeight="1" thickBot="1">
      <c r="A3" s="211"/>
      <c r="B3" s="216"/>
      <c r="E3" s="216"/>
      <c r="G3" s="216"/>
      <c r="H3" s="217"/>
      <c r="I3" s="216"/>
      <c r="J3" s="216"/>
      <c r="P3" s="219"/>
    </row>
    <row r="4" spans="1:16" s="207" customFormat="1" ht="24" customHeight="1">
      <c r="A4" s="953" t="s">
        <v>1235</v>
      </c>
      <c r="B4" s="955" t="s">
        <v>1309</v>
      </c>
      <c r="C4" s="956"/>
      <c r="D4" s="956"/>
      <c r="E4" s="956"/>
      <c r="F4" s="956"/>
      <c r="G4" s="956"/>
      <c r="H4" s="956"/>
      <c r="I4" s="956" t="s">
        <v>1279</v>
      </c>
      <c r="J4" s="956"/>
      <c r="K4" s="956"/>
      <c r="L4" s="956"/>
      <c r="M4" s="956"/>
      <c r="N4" s="956"/>
      <c r="O4" s="956"/>
      <c r="P4" s="956"/>
    </row>
    <row r="5" spans="1:16" s="207" customFormat="1" ht="19.5" customHeight="1">
      <c r="A5" s="954"/>
      <c r="B5" s="957" t="s">
        <v>1236</v>
      </c>
      <c r="C5" s="957" t="s">
        <v>1102</v>
      </c>
      <c r="D5" s="957" t="s">
        <v>1237</v>
      </c>
      <c r="E5" s="918" t="s">
        <v>1310</v>
      </c>
      <c r="F5" s="924"/>
      <c r="G5" s="918" t="s">
        <v>1311</v>
      </c>
      <c r="H5" s="924"/>
      <c r="I5" s="919" t="s">
        <v>1312</v>
      </c>
      <c r="J5" s="924"/>
      <c r="K5" s="918" t="s">
        <v>1313</v>
      </c>
      <c r="L5" s="919"/>
      <c r="M5" s="924"/>
      <c r="N5" s="933" t="s">
        <v>571</v>
      </c>
      <c r="O5" s="934"/>
      <c r="P5" s="934"/>
    </row>
    <row r="6" spans="1:16" s="207" customFormat="1" ht="25.5" customHeight="1">
      <c r="A6" s="954" t="s">
        <v>216</v>
      </c>
      <c r="B6" s="958"/>
      <c r="C6" s="958"/>
      <c r="D6" s="958"/>
      <c r="E6" s="925" t="s">
        <v>1280</v>
      </c>
      <c r="F6" s="927"/>
      <c r="G6" s="925" t="s">
        <v>1281</v>
      </c>
      <c r="H6" s="927"/>
      <c r="I6" s="926" t="s">
        <v>1282</v>
      </c>
      <c r="J6" s="927"/>
      <c r="K6" s="925" t="s">
        <v>1283</v>
      </c>
      <c r="L6" s="926"/>
      <c r="M6" s="927"/>
      <c r="N6" s="935" t="s">
        <v>1008</v>
      </c>
      <c r="O6" s="936"/>
      <c r="P6" s="936"/>
    </row>
    <row r="7" spans="1:16" s="207" customFormat="1" ht="27.75" customHeight="1">
      <c r="A7" s="954"/>
      <c r="B7" s="958" t="s">
        <v>1009</v>
      </c>
      <c r="C7" s="958" t="s">
        <v>1010</v>
      </c>
      <c r="D7" s="961" t="s">
        <v>1011</v>
      </c>
      <c r="E7" s="205" t="s">
        <v>1012</v>
      </c>
      <c r="F7" s="205" t="s">
        <v>994</v>
      </c>
      <c r="G7" s="205" t="s">
        <v>1012</v>
      </c>
      <c r="H7" s="205" t="s">
        <v>994</v>
      </c>
      <c r="I7" s="206" t="s">
        <v>1012</v>
      </c>
      <c r="J7" s="205" t="s">
        <v>994</v>
      </c>
      <c r="K7" s="205" t="s">
        <v>1238</v>
      </c>
      <c r="L7" s="918" t="s">
        <v>994</v>
      </c>
      <c r="M7" s="924"/>
      <c r="N7" s="205" t="s">
        <v>1239</v>
      </c>
      <c r="O7" s="918" t="s">
        <v>994</v>
      </c>
      <c r="P7" s="919"/>
    </row>
    <row r="8" spans="1:16" s="207" customFormat="1" ht="39.75" customHeight="1" thickBot="1">
      <c r="A8" s="959"/>
      <c r="B8" s="960"/>
      <c r="C8" s="960"/>
      <c r="D8" s="962"/>
      <c r="E8" s="208" t="s">
        <v>997</v>
      </c>
      <c r="F8" s="208" t="s">
        <v>998</v>
      </c>
      <c r="G8" s="208" t="s">
        <v>997</v>
      </c>
      <c r="H8" s="208" t="s">
        <v>998</v>
      </c>
      <c r="I8" s="209" t="s">
        <v>997</v>
      </c>
      <c r="J8" s="208" t="s">
        <v>998</v>
      </c>
      <c r="K8" s="208" t="s">
        <v>999</v>
      </c>
      <c r="L8" s="920" t="s">
        <v>998</v>
      </c>
      <c r="M8" s="928"/>
      <c r="N8" s="208" t="s">
        <v>997</v>
      </c>
      <c r="O8" s="920" t="s">
        <v>998</v>
      </c>
      <c r="P8" s="921"/>
    </row>
    <row r="9" spans="1:16" s="459" customFormat="1" ht="27" customHeight="1">
      <c r="A9" s="212" t="s">
        <v>498</v>
      </c>
      <c r="B9" s="65">
        <v>220</v>
      </c>
      <c r="C9" s="65">
        <v>30</v>
      </c>
      <c r="D9" s="65">
        <v>141</v>
      </c>
      <c r="E9" s="68">
        <v>6</v>
      </c>
      <c r="F9" s="68">
        <v>253</v>
      </c>
      <c r="G9" s="68" t="s">
        <v>82</v>
      </c>
      <c r="H9" s="68" t="s">
        <v>82</v>
      </c>
      <c r="I9" s="68">
        <v>13</v>
      </c>
      <c r="J9" s="68">
        <v>834</v>
      </c>
      <c r="K9" s="68">
        <v>23</v>
      </c>
      <c r="L9" s="913">
        <v>485</v>
      </c>
      <c r="M9" s="913"/>
      <c r="N9" s="70" t="s">
        <v>92</v>
      </c>
      <c r="O9" s="922" t="s">
        <v>92</v>
      </c>
      <c r="P9" s="922"/>
    </row>
    <row r="10" spans="1:16" s="459" customFormat="1" ht="27" customHeight="1">
      <c r="A10" s="212" t="s">
        <v>499</v>
      </c>
      <c r="B10" s="65">
        <v>734</v>
      </c>
      <c r="C10" s="65">
        <v>76</v>
      </c>
      <c r="D10" s="65">
        <v>976</v>
      </c>
      <c r="E10" s="68">
        <v>43</v>
      </c>
      <c r="F10" s="68">
        <v>661</v>
      </c>
      <c r="G10" s="68">
        <v>4</v>
      </c>
      <c r="H10" s="68">
        <v>207</v>
      </c>
      <c r="I10" s="68">
        <v>17</v>
      </c>
      <c r="J10" s="68">
        <v>1983</v>
      </c>
      <c r="K10" s="68">
        <v>26</v>
      </c>
      <c r="L10" s="912">
        <v>1590</v>
      </c>
      <c r="M10" s="912"/>
      <c r="N10" s="70" t="s">
        <v>92</v>
      </c>
      <c r="O10" s="923" t="s">
        <v>92</v>
      </c>
      <c r="P10" s="923"/>
    </row>
    <row r="11" spans="1:16" s="459" customFormat="1" ht="27" customHeight="1">
      <c r="A11" s="212" t="s">
        <v>500</v>
      </c>
      <c r="B11" s="65">
        <v>994</v>
      </c>
      <c r="C11" s="65">
        <v>126</v>
      </c>
      <c r="D11" s="65">
        <v>700</v>
      </c>
      <c r="E11" s="68">
        <v>83</v>
      </c>
      <c r="F11" s="68">
        <v>1134</v>
      </c>
      <c r="G11" s="68">
        <v>35</v>
      </c>
      <c r="H11" s="68">
        <v>1042</v>
      </c>
      <c r="I11" s="68">
        <v>27</v>
      </c>
      <c r="J11" s="68">
        <v>1588</v>
      </c>
      <c r="K11" s="68">
        <v>19</v>
      </c>
      <c r="L11" s="912">
        <v>800</v>
      </c>
      <c r="M11" s="912"/>
      <c r="N11" s="70" t="s">
        <v>92</v>
      </c>
      <c r="O11" s="923" t="s">
        <v>92</v>
      </c>
      <c r="P11" s="923"/>
    </row>
    <row r="12" spans="1:16" s="459" customFormat="1" ht="27" customHeight="1">
      <c r="A12" s="212" t="s">
        <v>501</v>
      </c>
      <c r="B12" s="65">
        <v>940</v>
      </c>
      <c r="C12" s="65">
        <v>120</v>
      </c>
      <c r="D12" s="65">
        <v>1454</v>
      </c>
      <c r="E12" s="68">
        <v>39</v>
      </c>
      <c r="F12" s="68">
        <v>857</v>
      </c>
      <c r="G12" s="68">
        <v>27</v>
      </c>
      <c r="H12" s="68">
        <v>1010</v>
      </c>
      <c r="I12" s="68">
        <v>14</v>
      </c>
      <c r="J12" s="68">
        <v>1571</v>
      </c>
      <c r="K12" s="68">
        <v>8</v>
      </c>
      <c r="L12" s="912">
        <v>1969</v>
      </c>
      <c r="M12" s="912"/>
      <c r="N12" s="68">
        <v>35</v>
      </c>
      <c r="O12" s="912">
        <v>349</v>
      </c>
      <c r="P12" s="912"/>
    </row>
    <row r="13" spans="1:16" s="459" customFormat="1" ht="27" customHeight="1">
      <c r="A13" s="212" t="s">
        <v>502</v>
      </c>
      <c r="B13" s="68">
        <v>1410</v>
      </c>
      <c r="C13" s="68">
        <v>149</v>
      </c>
      <c r="D13" s="68">
        <v>834</v>
      </c>
      <c r="E13" s="68">
        <v>11</v>
      </c>
      <c r="F13" s="68">
        <v>4745</v>
      </c>
      <c r="G13" s="68">
        <v>24</v>
      </c>
      <c r="H13" s="68">
        <v>2088</v>
      </c>
      <c r="I13" s="68">
        <v>17</v>
      </c>
      <c r="J13" s="68">
        <v>2210</v>
      </c>
      <c r="K13" s="68">
        <v>12</v>
      </c>
      <c r="L13" s="912">
        <v>3548</v>
      </c>
      <c r="M13" s="912"/>
      <c r="N13" s="68" t="s">
        <v>82</v>
      </c>
      <c r="O13" s="912" t="s">
        <v>82</v>
      </c>
      <c r="P13" s="912"/>
    </row>
    <row r="14" spans="1:20" s="72" customFormat="1" ht="27" customHeight="1" thickBot="1">
      <c r="A14" s="212" t="s">
        <v>503</v>
      </c>
      <c r="B14" s="59">
        <v>2111</v>
      </c>
      <c r="C14" s="59">
        <v>241</v>
      </c>
      <c r="D14" s="59">
        <v>279</v>
      </c>
      <c r="E14" s="59">
        <v>8</v>
      </c>
      <c r="F14" s="59">
        <v>992</v>
      </c>
      <c r="G14" s="59">
        <v>6</v>
      </c>
      <c r="H14" s="59">
        <v>1175</v>
      </c>
      <c r="I14" s="59">
        <v>11</v>
      </c>
      <c r="J14" s="59">
        <v>1241</v>
      </c>
      <c r="K14" s="59">
        <v>11</v>
      </c>
      <c r="L14" s="908">
        <v>2154</v>
      </c>
      <c r="M14" s="908"/>
      <c r="N14" s="59">
        <v>7</v>
      </c>
      <c r="O14" s="908">
        <v>448</v>
      </c>
      <c r="P14" s="908"/>
      <c r="T14" s="71"/>
    </row>
    <row r="15" spans="1:20" s="72" customFormat="1" ht="24.75" customHeight="1" thickBot="1">
      <c r="A15" s="213"/>
      <c r="B15" s="426"/>
      <c r="C15" s="426"/>
      <c r="D15" s="426"/>
      <c r="E15" s="426"/>
      <c r="F15" s="426"/>
      <c r="G15" s="426"/>
      <c r="H15" s="426"/>
      <c r="I15" s="426"/>
      <c r="J15" s="426"/>
      <c r="K15" s="426"/>
      <c r="L15" s="426"/>
      <c r="M15" s="426"/>
      <c r="N15" s="426"/>
      <c r="O15" s="426"/>
      <c r="P15" s="426"/>
      <c r="T15" s="71"/>
    </row>
    <row r="16" spans="1:16" s="215" customFormat="1" ht="24" customHeight="1">
      <c r="A16" s="946" t="s">
        <v>1013</v>
      </c>
      <c r="B16" s="947" t="s">
        <v>1309</v>
      </c>
      <c r="C16" s="945"/>
      <c r="D16" s="945"/>
      <c r="E16" s="945"/>
      <c r="F16" s="945"/>
      <c r="G16" s="945"/>
      <c r="H16" s="945"/>
      <c r="I16" s="945" t="s">
        <v>1279</v>
      </c>
      <c r="J16" s="945"/>
      <c r="K16" s="945"/>
      <c r="L16" s="945"/>
      <c r="M16" s="945"/>
      <c r="N16" s="945"/>
      <c r="O16" s="945"/>
      <c r="P16" s="945"/>
    </row>
    <row r="17" spans="1:16" s="215" customFormat="1" ht="19.5" customHeight="1">
      <c r="A17" s="937"/>
      <c r="B17" s="948" t="s">
        <v>1014</v>
      </c>
      <c r="C17" s="952" t="s">
        <v>1241</v>
      </c>
      <c r="D17" s="952" t="s">
        <v>1015</v>
      </c>
      <c r="E17" s="929" t="s">
        <v>1310</v>
      </c>
      <c r="F17" s="951"/>
      <c r="G17" s="929" t="s">
        <v>1311</v>
      </c>
      <c r="H17" s="951"/>
      <c r="I17" s="963" t="s">
        <v>1314</v>
      </c>
      <c r="J17" s="964"/>
      <c r="K17" s="929" t="s">
        <v>1313</v>
      </c>
      <c r="L17" s="930"/>
      <c r="M17" s="930"/>
      <c r="N17" s="929" t="s">
        <v>987</v>
      </c>
      <c r="O17" s="930"/>
      <c r="P17" s="930"/>
    </row>
    <row r="18" spans="1:16" s="215" customFormat="1" ht="25.5" customHeight="1">
      <c r="A18" s="937"/>
      <c r="B18" s="939"/>
      <c r="C18" s="941"/>
      <c r="D18" s="941"/>
      <c r="E18" s="931" t="s">
        <v>1284</v>
      </c>
      <c r="F18" s="950"/>
      <c r="G18" s="931" t="s">
        <v>1285</v>
      </c>
      <c r="H18" s="950"/>
      <c r="I18" s="932" t="s">
        <v>1286</v>
      </c>
      <c r="J18" s="950"/>
      <c r="K18" s="931" t="s">
        <v>1287</v>
      </c>
      <c r="L18" s="932"/>
      <c r="M18" s="932"/>
      <c r="N18" s="931" t="s">
        <v>41</v>
      </c>
      <c r="O18" s="932"/>
      <c r="P18" s="932"/>
    </row>
    <row r="19" spans="1:16" s="215" customFormat="1" ht="27.75" customHeight="1">
      <c r="A19" s="937" t="s">
        <v>216</v>
      </c>
      <c r="B19" s="939" t="s">
        <v>1016</v>
      </c>
      <c r="C19" s="941" t="s">
        <v>1010</v>
      </c>
      <c r="D19" s="943" t="s">
        <v>1017</v>
      </c>
      <c r="E19" s="430" t="s">
        <v>1018</v>
      </c>
      <c r="F19" s="430" t="s">
        <v>994</v>
      </c>
      <c r="G19" s="430" t="s">
        <v>1018</v>
      </c>
      <c r="H19" s="430" t="s">
        <v>994</v>
      </c>
      <c r="I19" s="431" t="s">
        <v>1018</v>
      </c>
      <c r="J19" s="430" t="s">
        <v>994</v>
      </c>
      <c r="K19" s="430" t="s">
        <v>957</v>
      </c>
      <c r="L19" s="929" t="s">
        <v>994</v>
      </c>
      <c r="M19" s="951"/>
      <c r="N19" s="430" t="s">
        <v>1018</v>
      </c>
      <c r="O19" s="929" t="s">
        <v>994</v>
      </c>
      <c r="P19" s="930"/>
    </row>
    <row r="20" spans="1:16" s="215" customFormat="1" ht="39.75" customHeight="1" thickBot="1">
      <c r="A20" s="938"/>
      <c r="B20" s="940"/>
      <c r="C20" s="942"/>
      <c r="D20" s="944"/>
      <c r="E20" s="433" t="s">
        <v>997</v>
      </c>
      <c r="F20" s="433" t="s">
        <v>998</v>
      </c>
      <c r="G20" s="433" t="s">
        <v>997</v>
      </c>
      <c r="H20" s="433" t="s">
        <v>998</v>
      </c>
      <c r="I20" s="434" t="s">
        <v>997</v>
      </c>
      <c r="J20" s="433" t="s">
        <v>998</v>
      </c>
      <c r="K20" s="433" t="s">
        <v>999</v>
      </c>
      <c r="L20" s="916" t="s">
        <v>998</v>
      </c>
      <c r="M20" s="965"/>
      <c r="N20" s="433" t="s">
        <v>997</v>
      </c>
      <c r="O20" s="916" t="s">
        <v>998</v>
      </c>
      <c r="P20" s="917"/>
    </row>
    <row r="21" spans="1:19" s="74" customFormat="1" ht="27" customHeight="1">
      <c r="A21" s="212" t="s">
        <v>504</v>
      </c>
      <c r="B21" s="59">
        <v>887</v>
      </c>
      <c r="C21" s="59">
        <v>228</v>
      </c>
      <c r="D21" s="59">
        <v>1025</v>
      </c>
      <c r="E21" s="59">
        <v>8</v>
      </c>
      <c r="F21" s="59">
        <v>761</v>
      </c>
      <c r="G21" s="59">
        <v>5</v>
      </c>
      <c r="H21" s="59">
        <v>2859</v>
      </c>
      <c r="I21" s="59">
        <v>12</v>
      </c>
      <c r="J21" s="59">
        <v>1289</v>
      </c>
      <c r="K21" s="59">
        <v>97</v>
      </c>
      <c r="L21" s="909">
        <v>2733</v>
      </c>
      <c r="M21" s="909"/>
      <c r="N21" s="66" t="s">
        <v>82</v>
      </c>
      <c r="O21" s="913" t="s">
        <v>82</v>
      </c>
      <c r="P21" s="913"/>
      <c r="S21" s="73"/>
    </row>
    <row r="22" spans="1:17" s="74" customFormat="1" ht="27" customHeight="1">
      <c r="A22" s="212" t="s">
        <v>505</v>
      </c>
      <c r="B22" s="59">
        <v>1259</v>
      </c>
      <c r="C22" s="59">
        <v>138</v>
      </c>
      <c r="D22" s="59">
        <v>145</v>
      </c>
      <c r="E22" s="59">
        <v>6</v>
      </c>
      <c r="F22" s="59">
        <v>466</v>
      </c>
      <c r="G22" s="59">
        <v>8</v>
      </c>
      <c r="H22" s="59">
        <v>2154</v>
      </c>
      <c r="I22" s="59">
        <v>9</v>
      </c>
      <c r="J22" s="59">
        <v>1170</v>
      </c>
      <c r="K22" s="65">
        <v>6</v>
      </c>
      <c r="L22" s="910">
        <v>3512</v>
      </c>
      <c r="M22" s="910"/>
      <c r="N22" s="74">
        <v>4</v>
      </c>
      <c r="O22" s="914">
        <v>172</v>
      </c>
      <c r="P22" s="914"/>
      <c r="Q22" s="73"/>
    </row>
    <row r="23" spans="1:18" s="459" customFormat="1" ht="27" customHeight="1" thickBot="1">
      <c r="A23" s="425" t="s">
        <v>882</v>
      </c>
      <c r="B23" s="75">
        <v>1056</v>
      </c>
      <c r="C23" s="75">
        <v>207</v>
      </c>
      <c r="D23" s="75">
        <v>103</v>
      </c>
      <c r="E23" s="75">
        <v>7</v>
      </c>
      <c r="F23" s="75">
        <v>467</v>
      </c>
      <c r="G23" s="75">
        <v>6</v>
      </c>
      <c r="H23" s="75">
        <v>369</v>
      </c>
      <c r="I23" s="75">
        <v>10</v>
      </c>
      <c r="J23" s="75">
        <v>1862</v>
      </c>
      <c r="K23" s="67">
        <v>5</v>
      </c>
      <c r="L23" s="911">
        <v>2398</v>
      </c>
      <c r="M23" s="911"/>
      <c r="N23" s="75">
        <v>17</v>
      </c>
      <c r="O23" s="915">
        <v>626</v>
      </c>
      <c r="P23" s="915"/>
      <c r="Q23" s="460"/>
      <c r="R23" s="460"/>
    </row>
    <row r="24" spans="17:18" ht="13.5" thickBot="1">
      <c r="Q24" s="463"/>
      <c r="R24" s="463"/>
    </row>
    <row r="25" spans="1:18" ht="16.5" customHeight="1">
      <c r="A25" s="946" t="s">
        <v>1013</v>
      </c>
      <c r="B25" s="947" t="s">
        <v>1315</v>
      </c>
      <c r="C25" s="945"/>
      <c r="D25" s="945"/>
      <c r="E25" s="945"/>
      <c r="F25" s="945"/>
      <c r="G25" s="945"/>
      <c r="H25" s="945"/>
      <c r="I25" s="945" t="s">
        <v>1240</v>
      </c>
      <c r="J25" s="945"/>
      <c r="K25" s="945"/>
      <c r="L25" s="945"/>
      <c r="M25" s="945"/>
      <c r="N25" s="945"/>
      <c r="O25" s="945"/>
      <c r="P25" s="945"/>
      <c r="Q25" s="454"/>
      <c r="R25" s="454"/>
    </row>
    <row r="26" spans="1:18" ht="19.5" customHeight="1">
      <c r="A26" s="937"/>
      <c r="B26" s="948" t="s">
        <v>1014</v>
      </c>
      <c r="C26" s="952" t="s">
        <v>1241</v>
      </c>
      <c r="D26" s="952" t="s">
        <v>1015</v>
      </c>
      <c r="E26" s="929" t="s">
        <v>1316</v>
      </c>
      <c r="F26" s="951"/>
      <c r="G26" s="929" t="s">
        <v>1317</v>
      </c>
      <c r="H26" s="951"/>
      <c r="I26" s="930" t="s">
        <v>1318</v>
      </c>
      <c r="J26" s="951"/>
      <c r="K26" s="929" t="s">
        <v>1319</v>
      </c>
      <c r="L26" s="951"/>
      <c r="M26" s="929" t="s">
        <v>1320</v>
      </c>
      <c r="N26" s="951"/>
      <c r="O26" s="929" t="s">
        <v>987</v>
      </c>
      <c r="P26" s="930"/>
      <c r="Q26" s="949"/>
      <c r="R26" s="949"/>
    </row>
    <row r="27" spans="1:18" ht="25.5" customHeight="1">
      <c r="A27" s="937"/>
      <c r="B27" s="939"/>
      <c r="C27" s="941"/>
      <c r="D27" s="941"/>
      <c r="E27" s="931" t="s">
        <v>1242</v>
      </c>
      <c r="F27" s="950"/>
      <c r="G27" s="931" t="s">
        <v>1243</v>
      </c>
      <c r="H27" s="950"/>
      <c r="I27" s="932" t="s">
        <v>1262</v>
      </c>
      <c r="J27" s="950"/>
      <c r="K27" s="931" t="s">
        <v>1264</v>
      </c>
      <c r="L27" s="950"/>
      <c r="M27" s="931" t="s">
        <v>1263</v>
      </c>
      <c r="N27" s="950"/>
      <c r="O27" s="931" t="s">
        <v>41</v>
      </c>
      <c r="P27" s="932"/>
      <c r="Q27" s="949"/>
      <c r="R27" s="949"/>
    </row>
    <row r="28" spans="1:18" ht="25.5">
      <c r="A28" s="937" t="s">
        <v>216</v>
      </c>
      <c r="B28" s="939" t="s">
        <v>1016</v>
      </c>
      <c r="C28" s="941" t="s">
        <v>1010</v>
      </c>
      <c r="D28" s="943" t="s">
        <v>1017</v>
      </c>
      <c r="E28" s="430" t="s">
        <v>1018</v>
      </c>
      <c r="F28" s="430" t="s">
        <v>994</v>
      </c>
      <c r="G28" s="430" t="s">
        <v>1018</v>
      </c>
      <c r="H28" s="430" t="s">
        <v>994</v>
      </c>
      <c r="I28" s="431" t="s">
        <v>1018</v>
      </c>
      <c r="J28" s="430" t="s">
        <v>994</v>
      </c>
      <c r="K28" s="431" t="s">
        <v>1018</v>
      </c>
      <c r="L28" s="430" t="s">
        <v>994</v>
      </c>
      <c r="M28" s="431" t="s">
        <v>957</v>
      </c>
      <c r="N28" s="430" t="s">
        <v>994</v>
      </c>
      <c r="O28" s="430" t="s">
        <v>1018</v>
      </c>
      <c r="P28" s="432" t="s">
        <v>994</v>
      </c>
      <c r="Q28" s="455"/>
      <c r="R28" s="455"/>
    </row>
    <row r="29" spans="1:18" ht="64.5" thickBot="1">
      <c r="A29" s="938"/>
      <c r="B29" s="940"/>
      <c r="C29" s="942"/>
      <c r="D29" s="944"/>
      <c r="E29" s="433" t="s">
        <v>997</v>
      </c>
      <c r="F29" s="433" t="s">
        <v>998</v>
      </c>
      <c r="G29" s="433" t="s">
        <v>997</v>
      </c>
      <c r="H29" s="433" t="s">
        <v>998</v>
      </c>
      <c r="I29" s="434" t="s">
        <v>997</v>
      </c>
      <c r="J29" s="433" t="s">
        <v>998</v>
      </c>
      <c r="K29" s="434" t="s">
        <v>997</v>
      </c>
      <c r="L29" s="433" t="s">
        <v>998</v>
      </c>
      <c r="M29" s="433" t="s">
        <v>999</v>
      </c>
      <c r="N29" s="433" t="s">
        <v>998</v>
      </c>
      <c r="O29" s="433" t="s">
        <v>997</v>
      </c>
      <c r="P29" s="435" t="s">
        <v>998</v>
      </c>
      <c r="Q29" s="455"/>
      <c r="R29" s="455"/>
    </row>
    <row r="30" spans="1:18" ht="27" customHeight="1" thickBot="1">
      <c r="A30" s="425" t="s">
        <v>1203</v>
      </c>
      <c r="B30" s="75">
        <v>1567</v>
      </c>
      <c r="C30" s="75">
        <v>626</v>
      </c>
      <c r="D30" s="75">
        <v>115</v>
      </c>
      <c r="E30" s="75">
        <v>2</v>
      </c>
      <c r="F30" s="75">
        <v>52</v>
      </c>
      <c r="G30" s="75">
        <v>5</v>
      </c>
      <c r="H30" s="75">
        <v>236</v>
      </c>
      <c r="I30" s="75">
        <v>9</v>
      </c>
      <c r="J30" s="75">
        <v>1200</v>
      </c>
      <c r="K30" s="67">
        <v>6</v>
      </c>
      <c r="L30" s="67">
        <v>232</v>
      </c>
      <c r="M30" s="67">
        <v>3</v>
      </c>
      <c r="N30" s="67">
        <v>317</v>
      </c>
      <c r="O30" s="75">
        <v>3</v>
      </c>
      <c r="P30" s="75">
        <v>63</v>
      </c>
      <c r="Q30" s="70"/>
      <c r="R30" s="70"/>
    </row>
    <row r="31" spans="17:18" ht="12.75">
      <c r="Q31" s="463"/>
      <c r="R31" s="463"/>
    </row>
    <row r="32" spans="17:18" ht="12.75">
      <c r="Q32" s="463"/>
      <c r="R32" s="463"/>
    </row>
    <row r="33" spans="17:18" ht="12.75">
      <c r="Q33" s="463"/>
      <c r="R33" s="463"/>
    </row>
  </sheetData>
  <sheetProtection/>
  <mergeCells count="92">
    <mergeCell ref="I18:J18"/>
    <mergeCell ref="K17:M17"/>
    <mergeCell ref="K18:M18"/>
    <mergeCell ref="A19:A20"/>
    <mergeCell ref="B19:B20"/>
    <mergeCell ref="C19:C20"/>
    <mergeCell ref="D19:D20"/>
    <mergeCell ref="I17:J17"/>
    <mergeCell ref="L19:M19"/>
    <mergeCell ref="L20:M20"/>
    <mergeCell ref="A16:A18"/>
    <mergeCell ref="B16:H16"/>
    <mergeCell ref="I16:P16"/>
    <mergeCell ref="B17:B18"/>
    <mergeCell ref="C17:C18"/>
    <mergeCell ref="D17:D18"/>
    <mergeCell ref="E17:F17"/>
    <mergeCell ref="G17:H17"/>
    <mergeCell ref="E18:F18"/>
    <mergeCell ref="G18:H18"/>
    <mergeCell ref="I5:J5"/>
    <mergeCell ref="A6:A8"/>
    <mergeCell ref="E6:F6"/>
    <mergeCell ref="G6:H6"/>
    <mergeCell ref="I6:J6"/>
    <mergeCell ref="B7:B8"/>
    <mergeCell ref="C7:C8"/>
    <mergeCell ref="D7:D8"/>
    <mergeCell ref="A2:H2"/>
    <mergeCell ref="I2:P2"/>
    <mergeCell ref="A4:A5"/>
    <mergeCell ref="B4:H4"/>
    <mergeCell ref="I4:P4"/>
    <mergeCell ref="B5:B6"/>
    <mergeCell ref="C5:C6"/>
    <mergeCell ref="D5:D6"/>
    <mergeCell ref="E5:F5"/>
    <mergeCell ref="G5:H5"/>
    <mergeCell ref="C26:C27"/>
    <mergeCell ref="D26:D27"/>
    <mergeCell ref="E26:F26"/>
    <mergeCell ref="G26:H26"/>
    <mergeCell ref="I26:J26"/>
    <mergeCell ref="K26:L26"/>
    <mergeCell ref="Q26:R26"/>
    <mergeCell ref="E27:F27"/>
    <mergeCell ref="G27:H27"/>
    <mergeCell ref="I27:J27"/>
    <mergeCell ref="K27:L27"/>
    <mergeCell ref="Q27:R27"/>
    <mergeCell ref="M26:N26"/>
    <mergeCell ref="M27:N27"/>
    <mergeCell ref="A28:A29"/>
    <mergeCell ref="B28:B29"/>
    <mergeCell ref="C28:C29"/>
    <mergeCell ref="D28:D29"/>
    <mergeCell ref="O27:P27"/>
    <mergeCell ref="I25:P25"/>
    <mergeCell ref="O26:P26"/>
    <mergeCell ref="A25:A27"/>
    <mergeCell ref="B25:H25"/>
    <mergeCell ref="B26:B27"/>
    <mergeCell ref="O12:P12"/>
    <mergeCell ref="K5:M5"/>
    <mergeCell ref="K6:M6"/>
    <mergeCell ref="L7:M7"/>
    <mergeCell ref="L8:M8"/>
    <mergeCell ref="O19:P19"/>
    <mergeCell ref="N17:P17"/>
    <mergeCell ref="N18:P18"/>
    <mergeCell ref="N5:P5"/>
    <mergeCell ref="N6:P6"/>
    <mergeCell ref="L9:M9"/>
    <mergeCell ref="L10:M10"/>
    <mergeCell ref="L11:M11"/>
    <mergeCell ref="L12:M12"/>
    <mergeCell ref="L13:M13"/>
    <mergeCell ref="O7:P7"/>
    <mergeCell ref="O8:P8"/>
    <mergeCell ref="O9:P9"/>
    <mergeCell ref="O10:P10"/>
    <mergeCell ref="O11:P11"/>
    <mergeCell ref="L14:M14"/>
    <mergeCell ref="L21:M21"/>
    <mergeCell ref="L22:M22"/>
    <mergeCell ref="L23:M23"/>
    <mergeCell ref="O13:P13"/>
    <mergeCell ref="O14:P14"/>
    <mergeCell ref="O21:P21"/>
    <mergeCell ref="O22:P22"/>
    <mergeCell ref="O23:P23"/>
    <mergeCell ref="O20:P20"/>
  </mergeCells>
  <printOptions horizontalCentered="1"/>
  <pageMargins left="0.6692913385826772" right="0.6692913385826772" top="0.6692913385826772" bottom="0.6692913385826772" header="0.2755905511811024" footer="0.2755905511811024"/>
  <pageSetup firstPageNumber="352" useFirstPageNumber="1" fitToWidth="2"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dimension ref="A1:R20"/>
  <sheetViews>
    <sheetView showGridLines="0" view="pageBreakPreview" zoomScale="55" zoomScaleNormal="120" zoomScaleSheetLayoutView="5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H3" sqref="H3"/>
    </sheetView>
  </sheetViews>
  <sheetFormatPr defaultColWidth="9.00390625" defaultRowHeight="16.5"/>
  <cols>
    <col min="1" max="1" width="13.125" style="188" customWidth="1"/>
    <col min="2" max="7" width="11.625" style="64" customWidth="1"/>
    <col min="8" max="13" width="14.625" style="64" customWidth="1"/>
    <col min="14" max="14" width="9.00390625" style="64" customWidth="1"/>
    <col min="15" max="17" width="0" style="64" hidden="1" customWidth="1"/>
    <col min="18" max="16384" width="9.00390625" style="64" customWidth="1"/>
  </cols>
  <sheetData>
    <row r="1" spans="1:13" s="158" customFormat="1" ht="18" customHeight="1">
      <c r="A1" s="157" t="s">
        <v>1077</v>
      </c>
      <c r="B1" s="189"/>
      <c r="M1" s="190" t="s">
        <v>245</v>
      </c>
    </row>
    <row r="2" spans="1:15" s="158" customFormat="1" ht="24.75" customHeight="1">
      <c r="A2" s="821" t="s">
        <v>1098</v>
      </c>
      <c r="B2" s="821"/>
      <c r="C2" s="821"/>
      <c r="D2" s="821"/>
      <c r="E2" s="821"/>
      <c r="F2" s="821"/>
      <c r="G2" s="821"/>
      <c r="H2" s="971" t="s">
        <v>371</v>
      </c>
      <c r="I2" s="972"/>
      <c r="J2" s="972"/>
      <c r="K2" s="972"/>
      <c r="L2" s="972"/>
      <c r="M2" s="972"/>
      <c r="N2" s="177"/>
      <c r="O2" s="177"/>
    </row>
    <row r="3" spans="1:13" s="158" customFormat="1" ht="15" customHeight="1" thickBot="1">
      <c r="A3" s="185"/>
      <c r="B3" s="189"/>
      <c r="E3" s="189"/>
      <c r="G3" s="190" t="s">
        <v>1099</v>
      </c>
      <c r="I3" s="189"/>
      <c r="J3" s="189"/>
      <c r="M3" s="191" t="s">
        <v>372</v>
      </c>
    </row>
    <row r="4" spans="1:14" s="193" customFormat="1" ht="24.75" customHeight="1">
      <c r="A4" s="973" t="s">
        <v>483</v>
      </c>
      <c r="B4" s="974" t="s">
        <v>553</v>
      </c>
      <c r="C4" s="975"/>
      <c r="D4" s="976" t="s">
        <v>554</v>
      </c>
      <c r="E4" s="977"/>
      <c r="F4" s="976" t="s">
        <v>555</v>
      </c>
      <c r="G4" s="977"/>
      <c r="H4" s="975" t="s">
        <v>556</v>
      </c>
      <c r="I4" s="977"/>
      <c r="J4" s="975" t="s">
        <v>557</v>
      </c>
      <c r="K4" s="977"/>
      <c r="L4" s="975" t="s">
        <v>558</v>
      </c>
      <c r="M4" s="975"/>
      <c r="N4" s="192"/>
    </row>
    <row r="5" spans="1:14" s="193" customFormat="1" ht="24.75" customHeight="1">
      <c r="A5" s="969"/>
      <c r="B5" s="978" t="s">
        <v>373</v>
      </c>
      <c r="C5" s="968"/>
      <c r="D5" s="966" t="s">
        <v>374</v>
      </c>
      <c r="E5" s="967"/>
      <c r="F5" s="966" t="s">
        <v>375</v>
      </c>
      <c r="G5" s="967"/>
      <c r="H5" s="968" t="s">
        <v>376</v>
      </c>
      <c r="I5" s="967"/>
      <c r="J5" s="968" t="s">
        <v>377</v>
      </c>
      <c r="K5" s="967"/>
      <c r="L5" s="968" t="s">
        <v>378</v>
      </c>
      <c r="M5" s="968"/>
      <c r="N5" s="192"/>
    </row>
    <row r="6" spans="1:14" s="193" customFormat="1" ht="24.75" customHeight="1">
      <c r="A6" s="969" t="s">
        <v>216</v>
      </c>
      <c r="B6" s="194" t="s">
        <v>559</v>
      </c>
      <c r="C6" s="195" t="s">
        <v>560</v>
      </c>
      <c r="D6" s="195" t="s">
        <v>561</v>
      </c>
      <c r="E6" s="195" t="s">
        <v>562</v>
      </c>
      <c r="F6" s="195" t="s">
        <v>561</v>
      </c>
      <c r="G6" s="195" t="s">
        <v>562</v>
      </c>
      <c r="H6" s="196" t="s">
        <v>561</v>
      </c>
      <c r="I6" s="195" t="s">
        <v>562</v>
      </c>
      <c r="J6" s="195" t="s">
        <v>561</v>
      </c>
      <c r="K6" s="195" t="s">
        <v>562</v>
      </c>
      <c r="L6" s="195" t="s">
        <v>561</v>
      </c>
      <c r="M6" s="197" t="s">
        <v>562</v>
      </c>
      <c r="N6" s="192"/>
    </row>
    <row r="7" spans="1:14" s="193" customFormat="1" ht="39.75" customHeight="1" thickBot="1">
      <c r="A7" s="970"/>
      <c r="B7" s="198" t="s">
        <v>379</v>
      </c>
      <c r="C7" s="199" t="s">
        <v>261</v>
      </c>
      <c r="D7" s="199" t="s">
        <v>379</v>
      </c>
      <c r="E7" s="199" t="s">
        <v>280</v>
      </c>
      <c r="F7" s="199" t="s">
        <v>379</v>
      </c>
      <c r="G7" s="199" t="s">
        <v>280</v>
      </c>
      <c r="H7" s="200" t="s">
        <v>379</v>
      </c>
      <c r="I7" s="199" t="s">
        <v>280</v>
      </c>
      <c r="J7" s="199" t="s">
        <v>379</v>
      </c>
      <c r="K7" s="199" t="s">
        <v>280</v>
      </c>
      <c r="L7" s="199" t="s">
        <v>380</v>
      </c>
      <c r="M7" s="201" t="s">
        <v>280</v>
      </c>
      <c r="N7" s="192"/>
    </row>
    <row r="8" spans="1:16" s="2" customFormat="1" ht="57" customHeight="1">
      <c r="A8" s="186" t="s">
        <v>563</v>
      </c>
      <c r="B8" s="497">
        <f aca="true" t="shared" si="0" ref="B8:C17">SUM(D8,F8,H8,J8,L8)</f>
        <v>13187</v>
      </c>
      <c r="C8" s="497">
        <f t="shared" si="0"/>
        <v>26319073</v>
      </c>
      <c r="D8" s="497">
        <v>439</v>
      </c>
      <c r="E8" s="498">
        <v>4313972</v>
      </c>
      <c r="F8" s="498">
        <v>2</v>
      </c>
      <c r="G8" s="498">
        <v>7013</v>
      </c>
      <c r="H8" s="498">
        <v>1</v>
      </c>
      <c r="I8" s="498">
        <v>3000</v>
      </c>
      <c r="J8" s="498">
        <v>12621</v>
      </c>
      <c r="K8" s="498">
        <v>21809088</v>
      </c>
      <c r="L8" s="498">
        <v>124</v>
      </c>
      <c r="M8" s="497">
        <v>186000</v>
      </c>
      <c r="O8" s="2">
        <v>13187</v>
      </c>
      <c r="P8" s="2">
        <f>IF(B8=O8,1)</f>
        <v>1</v>
      </c>
    </row>
    <row r="9" spans="1:16" s="2" customFormat="1" ht="57" customHeight="1">
      <c r="A9" s="186" t="s">
        <v>564</v>
      </c>
      <c r="B9" s="497">
        <f t="shared" si="0"/>
        <v>16168</v>
      </c>
      <c r="C9" s="497">
        <f t="shared" si="0"/>
        <v>33691289</v>
      </c>
      <c r="D9" s="497">
        <v>708</v>
      </c>
      <c r="E9" s="498">
        <v>6958941</v>
      </c>
      <c r="F9" s="497">
        <v>0</v>
      </c>
      <c r="G9" s="497">
        <v>0</v>
      </c>
      <c r="H9" s="498">
        <v>2</v>
      </c>
      <c r="I9" s="498">
        <v>60000</v>
      </c>
      <c r="J9" s="498">
        <v>15291</v>
      </c>
      <c r="K9" s="498">
        <v>26422848</v>
      </c>
      <c r="L9" s="498">
        <v>167</v>
      </c>
      <c r="M9" s="497">
        <v>249500</v>
      </c>
      <c r="O9" s="2">
        <v>16168</v>
      </c>
      <c r="P9" s="2">
        <f aca="true" t="shared" si="1" ref="P9:P17">IF(B9=O9,1)</f>
        <v>1</v>
      </c>
    </row>
    <row r="10" spans="1:16" s="2" customFormat="1" ht="57" customHeight="1">
      <c r="A10" s="186" t="s">
        <v>565</v>
      </c>
      <c r="B10" s="497">
        <f t="shared" si="0"/>
        <v>19513</v>
      </c>
      <c r="C10" s="497">
        <f t="shared" si="0"/>
        <v>40326479</v>
      </c>
      <c r="D10" s="497">
        <v>820</v>
      </c>
      <c r="E10" s="498">
        <v>8058375</v>
      </c>
      <c r="F10" s="498">
        <v>2</v>
      </c>
      <c r="G10" s="498">
        <v>7880</v>
      </c>
      <c r="H10" s="497">
        <v>0</v>
      </c>
      <c r="I10" s="497">
        <v>0</v>
      </c>
      <c r="J10" s="498">
        <v>18419</v>
      </c>
      <c r="K10" s="498">
        <v>31852224</v>
      </c>
      <c r="L10" s="498">
        <v>272</v>
      </c>
      <c r="M10" s="497">
        <v>408000</v>
      </c>
      <c r="O10" s="2">
        <v>19513</v>
      </c>
      <c r="P10" s="2">
        <f t="shared" si="1"/>
        <v>1</v>
      </c>
    </row>
    <row r="11" spans="1:16" s="2" customFormat="1" ht="57" customHeight="1">
      <c r="A11" s="186" t="s">
        <v>566</v>
      </c>
      <c r="B11" s="497">
        <f t="shared" si="0"/>
        <v>20852</v>
      </c>
      <c r="C11" s="497">
        <f t="shared" si="0"/>
        <v>42318664</v>
      </c>
      <c r="D11" s="497">
        <v>769</v>
      </c>
      <c r="E11" s="498">
        <v>7568028</v>
      </c>
      <c r="F11" s="497">
        <v>0</v>
      </c>
      <c r="G11" s="497">
        <v>0</v>
      </c>
      <c r="H11" s="498">
        <v>2</v>
      </c>
      <c r="I11" s="498">
        <v>85000</v>
      </c>
      <c r="J11" s="498">
        <v>19913</v>
      </c>
      <c r="K11" s="498">
        <v>34413636</v>
      </c>
      <c r="L11" s="498">
        <v>168</v>
      </c>
      <c r="M11" s="498">
        <v>252000</v>
      </c>
      <c r="O11" s="2">
        <v>20852</v>
      </c>
      <c r="P11" s="2">
        <f t="shared" si="1"/>
        <v>1</v>
      </c>
    </row>
    <row r="12" spans="1:16" s="2" customFormat="1" ht="57" customHeight="1">
      <c r="A12" s="186" t="s">
        <v>567</v>
      </c>
      <c r="B12" s="497">
        <f t="shared" si="0"/>
        <v>18628</v>
      </c>
      <c r="C12" s="497">
        <f t="shared" si="0"/>
        <v>40346060</v>
      </c>
      <c r="D12" s="498">
        <v>652</v>
      </c>
      <c r="E12" s="498">
        <v>6685124</v>
      </c>
      <c r="F12" s="497">
        <v>0</v>
      </c>
      <c r="G12" s="497">
        <v>0</v>
      </c>
      <c r="H12" s="497">
        <v>0</v>
      </c>
      <c r="I12" s="497">
        <v>0</v>
      </c>
      <c r="J12" s="498">
        <v>17717</v>
      </c>
      <c r="K12" s="498">
        <v>33272436</v>
      </c>
      <c r="L12" s="498">
        <v>259</v>
      </c>
      <c r="M12" s="498">
        <v>388500</v>
      </c>
      <c r="O12" s="2">
        <v>18628</v>
      </c>
      <c r="P12" s="2">
        <f t="shared" si="1"/>
        <v>1</v>
      </c>
    </row>
    <row r="13" spans="1:17" s="57" customFormat="1" ht="57" customHeight="1">
      <c r="A13" s="186" t="s">
        <v>568</v>
      </c>
      <c r="B13" s="497">
        <f t="shared" si="0"/>
        <v>15291</v>
      </c>
      <c r="C13" s="497">
        <f t="shared" si="0"/>
        <v>33000064</v>
      </c>
      <c r="D13" s="499">
        <v>510</v>
      </c>
      <c r="E13" s="499">
        <v>5227396</v>
      </c>
      <c r="F13" s="499">
        <v>0</v>
      </c>
      <c r="G13" s="499">
        <v>0</v>
      </c>
      <c r="H13" s="499">
        <v>0</v>
      </c>
      <c r="I13" s="499">
        <v>0</v>
      </c>
      <c r="J13" s="499">
        <v>14557</v>
      </c>
      <c r="K13" s="499">
        <v>27436668</v>
      </c>
      <c r="L13" s="499">
        <v>224</v>
      </c>
      <c r="M13" s="499">
        <v>336000</v>
      </c>
      <c r="O13" s="57">
        <v>15291</v>
      </c>
      <c r="P13" s="2">
        <f t="shared" si="1"/>
        <v>1</v>
      </c>
      <c r="Q13" s="58"/>
    </row>
    <row r="14" spans="1:17" s="60" customFormat="1" ht="57" customHeight="1">
      <c r="A14" s="186" t="s">
        <v>569</v>
      </c>
      <c r="B14" s="497">
        <f t="shared" si="0"/>
        <v>13850</v>
      </c>
      <c r="C14" s="497">
        <f t="shared" si="0"/>
        <v>31641189</v>
      </c>
      <c r="D14" s="500">
        <v>628</v>
      </c>
      <c r="E14" s="500">
        <v>6556494</v>
      </c>
      <c r="F14" s="500">
        <v>0</v>
      </c>
      <c r="G14" s="500">
        <v>0</v>
      </c>
      <c r="H14" s="500">
        <v>0</v>
      </c>
      <c r="I14" s="500">
        <v>0</v>
      </c>
      <c r="J14" s="500">
        <v>13013</v>
      </c>
      <c r="K14" s="500">
        <v>24771195</v>
      </c>
      <c r="L14" s="500">
        <v>209</v>
      </c>
      <c r="M14" s="500">
        <v>313500</v>
      </c>
      <c r="O14" s="60">
        <v>13850</v>
      </c>
      <c r="P14" s="2">
        <f t="shared" si="1"/>
        <v>1</v>
      </c>
      <c r="Q14" s="61"/>
    </row>
    <row r="15" spans="1:16" s="2" customFormat="1" ht="57" customHeight="1">
      <c r="A15" s="186" t="s">
        <v>570</v>
      </c>
      <c r="B15" s="497">
        <f t="shared" si="0"/>
        <v>12011</v>
      </c>
      <c r="C15" s="497">
        <f t="shared" si="0"/>
        <v>28950149</v>
      </c>
      <c r="D15" s="500">
        <v>566</v>
      </c>
      <c r="E15" s="500">
        <v>6953393</v>
      </c>
      <c r="F15" s="500">
        <v>1</v>
      </c>
      <c r="G15" s="500">
        <v>1375</v>
      </c>
      <c r="H15" s="500">
        <v>1</v>
      </c>
      <c r="I15" s="500">
        <v>50000</v>
      </c>
      <c r="J15" s="500">
        <v>11286</v>
      </c>
      <c r="K15" s="500">
        <v>21709881</v>
      </c>
      <c r="L15" s="500">
        <v>157</v>
      </c>
      <c r="M15" s="500">
        <v>235500</v>
      </c>
      <c r="O15" s="2">
        <v>12011</v>
      </c>
      <c r="P15" s="2">
        <f t="shared" si="1"/>
        <v>1</v>
      </c>
    </row>
    <row r="16" spans="1:16" s="2" customFormat="1" ht="57" customHeight="1">
      <c r="A16" s="186" t="s">
        <v>1019</v>
      </c>
      <c r="B16" s="497">
        <f t="shared" si="0"/>
        <v>10261</v>
      </c>
      <c r="C16" s="497">
        <f>SUM(E16,G16,I16,K16,M16)</f>
        <v>26363367</v>
      </c>
      <c r="D16" s="497">
        <v>499</v>
      </c>
      <c r="E16" s="497">
        <v>6824916</v>
      </c>
      <c r="F16" s="130">
        <v>2</v>
      </c>
      <c r="G16" s="130">
        <v>5281</v>
      </c>
      <c r="H16" s="130">
        <v>1</v>
      </c>
      <c r="I16" s="130">
        <v>50000</v>
      </c>
      <c r="J16" s="130">
        <v>9670</v>
      </c>
      <c r="K16" s="130">
        <v>19349670</v>
      </c>
      <c r="L16" s="130">
        <v>89</v>
      </c>
      <c r="M16" s="130">
        <v>133500</v>
      </c>
      <c r="O16" s="2">
        <v>10261</v>
      </c>
      <c r="P16" s="2">
        <f t="shared" si="1"/>
        <v>1</v>
      </c>
    </row>
    <row r="17" spans="1:16" s="2" customFormat="1" ht="57" customHeight="1" thickBot="1">
      <c r="A17" s="187" t="s">
        <v>1208</v>
      </c>
      <c r="B17" s="503">
        <f t="shared" si="0"/>
        <v>11208</v>
      </c>
      <c r="C17" s="501">
        <f>SUM(E17,G17,I17,K17,M17)</f>
        <v>29148285</v>
      </c>
      <c r="D17" s="501">
        <v>481</v>
      </c>
      <c r="E17" s="501">
        <v>6629983</v>
      </c>
      <c r="F17" s="502">
        <v>0</v>
      </c>
      <c r="G17" s="502">
        <v>0</v>
      </c>
      <c r="H17" s="501">
        <v>1</v>
      </c>
      <c r="I17" s="501">
        <v>50000</v>
      </c>
      <c r="J17" s="501">
        <v>10603</v>
      </c>
      <c r="K17" s="501">
        <v>22274802</v>
      </c>
      <c r="L17" s="501">
        <v>123</v>
      </c>
      <c r="M17" s="501">
        <v>193500</v>
      </c>
      <c r="O17" s="6">
        <v>11208</v>
      </c>
      <c r="P17" s="2">
        <f t="shared" si="1"/>
        <v>1</v>
      </c>
    </row>
    <row r="18" spans="1:18" s="174" customFormat="1" ht="15" customHeight="1">
      <c r="A18" s="177" t="s">
        <v>1080</v>
      </c>
      <c r="B18" s="202"/>
      <c r="C18" s="202"/>
      <c r="D18" s="202"/>
      <c r="E18" s="202"/>
      <c r="F18" s="202"/>
      <c r="G18" s="177"/>
      <c r="H18" s="177" t="s">
        <v>221</v>
      </c>
      <c r="I18" s="177"/>
      <c r="J18" s="177"/>
      <c r="L18" s="177"/>
      <c r="N18" s="177"/>
      <c r="O18" s="177"/>
      <c r="P18" s="177"/>
      <c r="Q18" s="177"/>
      <c r="R18" s="177"/>
    </row>
    <row r="19" spans="1:8" s="188" customFormat="1" ht="15" customHeight="1">
      <c r="A19" s="188" t="s">
        <v>1100</v>
      </c>
      <c r="H19" s="188" t="s">
        <v>381</v>
      </c>
    </row>
    <row r="20" spans="1:8" s="188" customFormat="1" ht="15" customHeight="1">
      <c r="A20" s="188" t="s">
        <v>1101</v>
      </c>
      <c r="H20" s="188" t="s">
        <v>382</v>
      </c>
    </row>
    <row r="21" s="188" customFormat="1" ht="12.75"/>
    <row r="22" s="188" customFormat="1" ht="12.75"/>
    <row r="23" s="188" customFormat="1" ht="12.75"/>
    <row r="24" s="188" customFormat="1" ht="12.75"/>
    <row r="25" s="188" customFormat="1" ht="12.75"/>
    <row r="26" s="188" customFormat="1" ht="12.75"/>
    <row r="27" s="188" customFormat="1" ht="12.75"/>
  </sheetData>
  <sheetProtection/>
  <mergeCells count="16">
    <mergeCell ref="A2:G2"/>
    <mergeCell ref="H2:M2"/>
    <mergeCell ref="A4:A5"/>
    <mergeCell ref="B4:C4"/>
    <mergeCell ref="D4:E4"/>
    <mergeCell ref="F4:G4"/>
    <mergeCell ref="H4:I4"/>
    <mergeCell ref="J4:K4"/>
    <mergeCell ref="L4:M4"/>
    <mergeCell ref="B5:C5"/>
    <mergeCell ref="D5:E5"/>
    <mergeCell ref="F5:G5"/>
    <mergeCell ref="H5:I5"/>
    <mergeCell ref="J5:K5"/>
    <mergeCell ref="L5:M5"/>
    <mergeCell ref="A6:A7"/>
  </mergeCells>
  <printOptions horizontalCentered="1"/>
  <pageMargins left="0.6692913385826772" right="0.6692913385826772" top="0.6692913385826772" bottom="0.6692913385826772" header="0.2755905511811024" footer="0.2755905511811024"/>
  <pageSetup firstPageNumber="352" useFirstPageNumber="1" fitToWidth="2"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D44"/>
  <sheetViews>
    <sheetView showGridLines="0" view="pageBreakPreview" zoomScale="85" zoomScaleSheetLayoutView="85" workbookViewId="0" topLeftCell="A1">
      <pane xSplit="1" ySplit="6" topLeftCell="D7" activePane="bottomRight" state="frozen"/>
      <selection pane="topLeft" activeCell="A1" sqref="A1"/>
      <selection pane="topRight" activeCell="A1" sqref="A1"/>
      <selection pane="bottomLeft" activeCell="A1" sqref="A1"/>
      <selection pane="bottomRight" activeCell="O5" sqref="O5"/>
    </sheetView>
  </sheetViews>
  <sheetFormatPr defaultColWidth="9.00390625" defaultRowHeight="16.5"/>
  <cols>
    <col min="1" max="1" width="26.00390625" style="218" customWidth="1"/>
    <col min="2" max="2" width="10.125" style="480" customWidth="1"/>
    <col min="3" max="3" width="9.75390625" style="480" customWidth="1"/>
    <col min="4" max="4" width="10.625" style="480" customWidth="1"/>
    <col min="5" max="5" width="10.375" style="480" customWidth="1"/>
    <col min="6" max="6" width="10.625" style="480" customWidth="1"/>
    <col min="7" max="7" width="10.125" style="480" customWidth="1"/>
    <col min="8" max="11" width="9.75390625" style="480" customWidth="1"/>
    <col min="12" max="12" width="10.125" style="480" customWidth="1"/>
    <col min="13" max="15" width="9.75390625" style="480" customWidth="1"/>
    <col min="16" max="16" width="9.125" style="480" customWidth="1"/>
    <col min="17" max="17" width="9.00390625" style="480" customWidth="1"/>
    <col min="18" max="19" width="0" style="480" hidden="1" customWidth="1"/>
    <col min="20" max="20" width="8.75390625" style="480" hidden="1" customWidth="1"/>
    <col min="21" max="21" width="0" style="480" hidden="1" customWidth="1"/>
    <col min="22" max="22" width="6.875" style="480" hidden="1" customWidth="1"/>
    <col min="23" max="30" width="0" style="480" hidden="1" customWidth="1"/>
    <col min="31" max="16384" width="9.00390625" style="480" customWidth="1"/>
  </cols>
  <sheetData>
    <row r="1" spans="1:16" s="218" customFormat="1" ht="18" customHeight="1">
      <c r="A1" s="210" t="s">
        <v>1077</v>
      </c>
      <c r="P1" s="258" t="s">
        <v>0</v>
      </c>
    </row>
    <row r="2" spans="1:16" s="218" customFormat="1" ht="24.75" customHeight="1">
      <c r="A2" s="625" t="s">
        <v>1254</v>
      </c>
      <c r="B2" s="625"/>
      <c r="C2" s="625"/>
      <c r="D2" s="625"/>
      <c r="E2" s="625"/>
      <c r="F2" s="625"/>
      <c r="G2" s="625"/>
      <c r="H2" s="625" t="s">
        <v>383</v>
      </c>
      <c r="I2" s="625"/>
      <c r="J2" s="625"/>
      <c r="K2" s="625"/>
      <c r="L2" s="625"/>
      <c r="M2" s="625"/>
      <c r="N2" s="625"/>
      <c r="O2" s="625"/>
      <c r="P2" s="625"/>
    </row>
    <row r="3" spans="1:16" s="218" customFormat="1" ht="15" customHeight="1" thickBot="1">
      <c r="A3" s="307"/>
      <c r="B3" s="307"/>
      <c r="C3" s="307"/>
      <c r="D3" s="307"/>
      <c r="E3" s="307"/>
      <c r="F3" s="307"/>
      <c r="G3" s="473" t="s">
        <v>1083</v>
      </c>
      <c r="H3" s="307"/>
      <c r="I3" s="307"/>
      <c r="J3" s="307"/>
      <c r="K3" s="473"/>
      <c r="L3" s="391"/>
      <c r="M3" s="307"/>
      <c r="N3" s="307"/>
      <c r="O3" s="307"/>
      <c r="P3" s="473" t="s">
        <v>157</v>
      </c>
    </row>
    <row r="4" spans="1:16" s="218" customFormat="1" ht="18" customHeight="1">
      <c r="A4" s="660" t="s">
        <v>539</v>
      </c>
      <c r="B4" s="802" t="s">
        <v>1094</v>
      </c>
      <c r="C4" s="802"/>
      <c r="D4" s="802"/>
      <c r="E4" s="802"/>
      <c r="F4" s="803"/>
      <c r="G4" s="479"/>
      <c r="H4" s="980" t="s">
        <v>1255</v>
      </c>
      <c r="I4" s="980"/>
      <c r="J4" s="980"/>
      <c r="K4" s="981"/>
      <c r="L4" s="802" t="s">
        <v>1095</v>
      </c>
      <c r="M4" s="802"/>
      <c r="N4" s="802"/>
      <c r="O4" s="802"/>
      <c r="P4" s="803"/>
    </row>
    <row r="5" spans="1:16" s="218" customFormat="1" ht="27" customHeight="1">
      <c r="A5" s="641"/>
      <c r="B5" s="436" t="s">
        <v>1085</v>
      </c>
      <c r="C5" s="183" t="s">
        <v>1086</v>
      </c>
      <c r="D5" s="183" t="s">
        <v>1308</v>
      </c>
      <c r="E5" s="567" t="s">
        <v>1434</v>
      </c>
      <c r="F5" s="183" t="s">
        <v>1087</v>
      </c>
      <c r="G5" s="183" t="s">
        <v>1085</v>
      </c>
      <c r="H5" s="182" t="s">
        <v>1086</v>
      </c>
      <c r="I5" s="183" t="s">
        <v>1308</v>
      </c>
      <c r="J5" s="567" t="s">
        <v>1434</v>
      </c>
      <c r="K5" s="183" t="s">
        <v>1087</v>
      </c>
      <c r="L5" s="182" t="s">
        <v>1085</v>
      </c>
      <c r="M5" s="183" t="s">
        <v>1086</v>
      </c>
      <c r="N5" s="183" t="s">
        <v>1308</v>
      </c>
      <c r="O5" s="567" t="s">
        <v>1434</v>
      </c>
      <c r="P5" s="183" t="s">
        <v>1087</v>
      </c>
    </row>
    <row r="6" spans="1:16" s="309" customFormat="1" ht="36.75" customHeight="1" thickBot="1">
      <c r="A6" s="642"/>
      <c r="B6" s="465" t="s">
        <v>384</v>
      </c>
      <c r="C6" s="172" t="s">
        <v>385</v>
      </c>
      <c r="D6" s="172" t="s">
        <v>386</v>
      </c>
      <c r="E6" s="172" t="s">
        <v>387</v>
      </c>
      <c r="F6" s="466" t="s">
        <v>76</v>
      </c>
      <c r="G6" s="172" t="s">
        <v>384</v>
      </c>
      <c r="H6" s="171" t="s">
        <v>385</v>
      </c>
      <c r="I6" s="172" t="s">
        <v>386</v>
      </c>
      <c r="J6" s="172" t="s">
        <v>387</v>
      </c>
      <c r="K6" s="172" t="s">
        <v>76</v>
      </c>
      <c r="L6" s="171" t="s">
        <v>384</v>
      </c>
      <c r="M6" s="172" t="s">
        <v>385</v>
      </c>
      <c r="N6" s="172" t="s">
        <v>386</v>
      </c>
      <c r="O6" s="172" t="s">
        <v>387</v>
      </c>
      <c r="P6" s="172" t="s">
        <v>76</v>
      </c>
    </row>
    <row r="7" spans="1:29" ht="29.25" customHeight="1">
      <c r="A7" s="504" t="s">
        <v>540</v>
      </c>
      <c r="B7" s="513">
        <f>G7+L7+'11-20 續1'!B7+'11-20 續1'!G7+'11-20 續1'!L7+'11-20續2 '!B7+'11-20續2 '!G7+'11-20續2 '!L7+'11-20續3完'!B7</f>
        <v>165.31999999999996</v>
      </c>
      <c r="C7" s="513">
        <f>H7+M7+'11-20 續1'!C7+'11-20 續1'!H7+'11-20 續1'!M7+'11-20續2 '!C7+'11-20續2 '!H7+'11-20續2 '!M7+'11-20續3完'!C7</f>
        <v>52</v>
      </c>
      <c r="D7" s="513">
        <f>I7+N7+'11-20 續1'!D7+'11-20 續1'!I7+'11-20 續1'!N7+'11-20續2 '!D7+'11-20續2 '!I7+'11-20續2 '!N7+'11-20續3完'!D7</f>
        <v>9</v>
      </c>
      <c r="E7" s="513">
        <f>J7+O7+'11-20 續1'!E7+'11-20 續1'!J7+'11-20 續1'!O7+'11-20續2 '!E7+'11-20續2 '!J7+'11-20續2 '!O7+'11-20續3完'!E7</f>
        <v>279.6</v>
      </c>
      <c r="F7" s="513">
        <f>K7+P7+'11-20 續1'!F7+'11-20 續1'!K7+'11-20 續1'!P7+'11-20續2 '!F7+'11-20續2 '!K7+'11-20續2 '!P7+'11-20續3完'!F7</f>
        <v>208</v>
      </c>
      <c r="G7" s="513">
        <v>47.42</v>
      </c>
      <c r="H7" s="513">
        <v>28</v>
      </c>
      <c r="I7" s="513">
        <v>4</v>
      </c>
      <c r="J7" s="513">
        <v>267.6</v>
      </c>
      <c r="K7" s="513">
        <v>134.15</v>
      </c>
      <c r="L7" s="513">
        <v>16.53</v>
      </c>
      <c r="M7" s="513">
        <v>1</v>
      </c>
      <c r="N7" s="513">
        <v>0</v>
      </c>
      <c r="O7" s="513">
        <v>0</v>
      </c>
      <c r="P7" s="513">
        <v>7.05</v>
      </c>
      <c r="R7" s="505">
        <v>165.31999999999996</v>
      </c>
      <c r="S7" s="505">
        <v>52</v>
      </c>
      <c r="T7" s="505">
        <v>9</v>
      </c>
      <c r="U7" s="505">
        <v>279.6</v>
      </c>
      <c r="V7" s="505">
        <v>208</v>
      </c>
      <c r="W7" s="505"/>
      <c r="Y7" s="480">
        <f>IF(B7=R7,1)</f>
        <v>1</v>
      </c>
      <c r="Z7" s="480">
        <f>IF(C7=S7,1)</f>
        <v>1</v>
      </c>
      <c r="AA7" s="480">
        <f>IF(D7=T7,1)</f>
        <v>1</v>
      </c>
      <c r="AB7" s="480">
        <f>IF(E7=U7,1)</f>
        <v>1</v>
      </c>
      <c r="AC7" s="480">
        <f>IF(F7=V7,1)</f>
        <v>1</v>
      </c>
    </row>
    <row r="8" spans="1:29" ht="29.25" customHeight="1">
      <c r="A8" s="468" t="s">
        <v>541</v>
      </c>
      <c r="B8" s="513">
        <f>G8+L8+'11-20 續1'!B8+'11-20 續1'!G8+'11-20 續1'!L8+'11-20續2 '!B8+'11-20續2 '!G8+'11-20續2 '!L8+'11-20續3完'!B8</f>
        <v>186.09</v>
      </c>
      <c r="C8" s="513">
        <f>H8+M8+'11-20 續1'!C8+'11-20 續1'!H8+'11-20 續1'!M8+'11-20續2 '!C8+'11-20續2 '!H8+'11-20續2 '!M8+'11-20續3完'!C8</f>
        <v>37</v>
      </c>
      <c r="D8" s="513">
        <f>I8+N8+'11-20 續1'!D8+'11-20 續1'!I8+'11-20 續1'!N8+'11-20續2 '!D8+'11-20續2 '!I8+'11-20續2 '!N8+'11-20續3完'!D8</f>
        <v>28</v>
      </c>
      <c r="E8" s="513">
        <f>J8+O8+'11-20 續1'!E8+'11-20 續1'!J8+'11-20 續1'!O8+'11-20續2 '!E8+'11-20續2 '!J8+'11-20續2 '!O8+'11-20續3完'!E8</f>
        <v>289.5</v>
      </c>
      <c r="F8" s="513">
        <f>K8+P8+'11-20 續1'!F8+'11-20 續1'!K8+'11-20 續1'!P8+'11-20續2 '!F8+'11-20續2 '!K8+'11-20續2 '!P8+'11-20續3完'!F8</f>
        <v>235.49999999999997</v>
      </c>
      <c r="G8" s="513">
        <v>57.11</v>
      </c>
      <c r="H8" s="513">
        <v>30</v>
      </c>
      <c r="I8" s="513">
        <v>0</v>
      </c>
      <c r="J8" s="513">
        <v>268.5</v>
      </c>
      <c r="K8" s="513">
        <v>151.1</v>
      </c>
      <c r="L8" s="513">
        <v>18.22</v>
      </c>
      <c r="M8" s="513">
        <v>1</v>
      </c>
      <c r="N8" s="513">
        <v>0</v>
      </c>
      <c r="O8" s="513">
        <v>0</v>
      </c>
      <c r="P8" s="513">
        <v>12.2</v>
      </c>
      <c r="R8" s="505">
        <v>186.09</v>
      </c>
      <c r="S8" s="505">
        <v>37</v>
      </c>
      <c r="T8" s="505">
        <v>28</v>
      </c>
      <c r="U8" s="505">
        <v>289.5</v>
      </c>
      <c r="V8" s="505">
        <v>235.49999999999997</v>
      </c>
      <c r="W8" s="505"/>
      <c r="Y8" s="480">
        <f aca="true" t="shared" si="0" ref="Y8:Y15">IF(B8=R8,1)</f>
        <v>1</v>
      </c>
      <c r="Z8" s="480">
        <f aca="true" t="shared" si="1" ref="Z8:Z16">IF(C8=S8,1)</f>
        <v>1</v>
      </c>
      <c r="AA8" s="480">
        <f aca="true" t="shared" si="2" ref="AA8:AA16">IF(D8=T8,1)</f>
        <v>1</v>
      </c>
      <c r="AB8" s="480">
        <f aca="true" t="shared" si="3" ref="AB8:AB16">IF(E8=U8,1)</f>
        <v>1</v>
      </c>
      <c r="AC8" s="480">
        <f aca="true" t="shared" si="4" ref="AC8:AC16">IF(F8=V8,1)</f>
        <v>1</v>
      </c>
    </row>
    <row r="9" spans="1:29" ht="29.25" customHeight="1">
      <c r="A9" s="468" t="s">
        <v>542</v>
      </c>
      <c r="B9" s="513">
        <f>G9+L9+'11-20 續1'!B9+'11-20 續1'!G9+'11-20 續1'!L9+'11-20續2 '!B9+'11-20續2 '!G9+'11-20續2 '!L9+'11-20續3完'!B9</f>
        <v>182.62999999999997</v>
      </c>
      <c r="C9" s="513">
        <f>H9+M9+'11-20 續1'!C9+'11-20 續1'!H9+'11-20 續1'!M9+'11-20續2 '!C9+'11-20續2 '!H9+'11-20續2 '!M9+'11-20續3完'!C9</f>
        <v>117</v>
      </c>
      <c r="D9" s="513">
        <f>I9+N9+'11-20 續1'!D9+'11-20 續1'!I9+'11-20 續1'!N9+'11-20續2 '!D9+'11-20續2 '!I9+'11-20續2 '!N9+'11-20續3完'!D9</f>
        <v>6</v>
      </c>
      <c r="E9" s="513">
        <f>J9+O9+'11-20 續1'!E9+'11-20 續1'!J9+'11-20 續1'!O9+'11-20續2 '!E9+'11-20續2 '!J9+'11-20續2 '!O9+'11-20續3完'!E9</f>
        <v>252</v>
      </c>
      <c r="F9" s="513">
        <f>K9+P9+'11-20 續1'!F9+'11-20 續1'!K9+'11-20 續1'!P9+'11-20續2 '!F9+'11-20續2 '!K9+'11-20續2 '!P9+'11-20續3完'!F9</f>
        <v>322.00000000000006</v>
      </c>
      <c r="G9" s="513">
        <v>52.86</v>
      </c>
      <c r="H9" s="513">
        <v>17</v>
      </c>
      <c r="I9" s="513">
        <v>0</v>
      </c>
      <c r="J9" s="513">
        <v>252</v>
      </c>
      <c r="K9" s="513">
        <v>202.6</v>
      </c>
      <c r="L9" s="513">
        <v>14.35</v>
      </c>
      <c r="M9" s="513">
        <v>2</v>
      </c>
      <c r="N9" s="513">
        <v>0</v>
      </c>
      <c r="O9" s="513">
        <v>0</v>
      </c>
      <c r="P9" s="513">
        <v>16.3</v>
      </c>
      <c r="R9" s="505">
        <v>182.62999999999997</v>
      </c>
      <c r="S9" s="505">
        <v>117</v>
      </c>
      <c r="T9" s="505">
        <v>6</v>
      </c>
      <c r="U9" s="505">
        <v>252</v>
      </c>
      <c r="V9" s="505">
        <v>322.00000000000006</v>
      </c>
      <c r="W9" s="505"/>
      <c r="Y9" s="480">
        <f t="shared" si="0"/>
        <v>1</v>
      </c>
      <c r="Z9" s="480">
        <f t="shared" si="1"/>
        <v>1</v>
      </c>
      <c r="AA9" s="480">
        <f t="shared" si="2"/>
        <v>1</v>
      </c>
      <c r="AB9" s="480">
        <f t="shared" si="3"/>
        <v>1</v>
      </c>
      <c r="AC9" s="480">
        <f t="shared" si="4"/>
        <v>1</v>
      </c>
    </row>
    <row r="10" spans="1:29" ht="29.25" customHeight="1">
      <c r="A10" s="468" t="s">
        <v>543</v>
      </c>
      <c r="B10" s="513">
        <f>G10+L10+'11-20 續1'!B10+'11-20 續1'!G10+'11-20 續1'!L10+'11-20續2 '!B10+'11-20續2 '!G10+'11-20續2 '!L10+'11-20續3完'!B10</f>
        <v>244.54</v>
      </c>
      <c r="C10" s="513">
        <f>H10+M10+'11-20 續1'!C10+'11-20 續1'!H10+'11-20 續1'!M10+'11-20續2 '!C10+'11-20續2 '!H10+'11-20續2 '!M10+'11-20續3完'!C10</f>
        <v>147</v>
      </c>
      <c r="D10" s="513">
        <f>I10+N10+'11-20 續1'!D10+'11-20 續1'!I10+'11-20 續1'!N10+'11-20續2 '!D10+'11-20續2 '!I10+'11-20續2 '!N10+'11-20續3完'!D10</f>
        <v>20</v>
      </c>
      <c r="E10" s="513">
        <f>J10+O10+'11-20 續1'!E10+'11-20 續1'!J10+'11-20 續1'!O10+'11-20續2 '!E10+'11-20續2 '!J10+'11-20續2 '!O10+'11-20續3完'!E10</f>
        <v>337</v>
      </c>
      <c r="F10" s="513">
        <f>K10+P10+'11-20 續1'!F10+'11-20 續1'!K10+'11-20 續1'!P10+'11-20續2 '!F10+'11-20續2 '!K10+'11-20續2 '!P10+'11-20續3完'!F10</f>
        <v>437.83</v>
      </c>
      <c r="G10" s="513">
        <v>61.38</v>
      </c>
      <c r="H10" s="513">
        <v>25</v>
      </c>
      <c r="I10" s="513">
        <v>4</v>
      </c>
      <c r="J10" s="513">
        <v>335</v>
      </c>
      <c r="K10" s="513">
        <v>210.4</v>
      </c>
      <c r="L10" s="513">
        <v>23.96</v>
      </c>
      <c r="M10" s="513">
        <v>20</v>
      </c>
      <c r="N10" s="513">
        <v>4</v>
      </c>
      <c r="O10" s="513">
        <v>2</v>
      </c>
      <c r="P10" s="513">
        <v>33.6</v>
      </c>
      <c r="R10" s="505">
        <v>244.54</v>
      </c>
      <c r="S10" s="505">
        <v>147</v>
      </c>
      <c r="T10" s="505">
        <v>20</v>
      </c>
      <c r="U10" s="505">
        <v>337</v>
      </c>
      <c r="V10" s="505">
        <v>437.83</v>
      </c>
      <c r="W10" s="505"/>
      <c r="Y10" s="480">
        <f t="shared" si="0"/>
        <v>1</v>
      </c>
      <c r="Z10" s="480">
        <f t="shared" si="1"/>
        <v>1</v>
      </c>
      <c r="AA10" s="480">
        <f t="shared" si="2"/>
        <v>1</v>
      </c>
      <c r="AB10" s="480">
        <f t="shared" si="3"/>
        <v>1</v>
      </c>
      <c r="AC10" s="480">
        <f t="shared" si="4"/>
        <v>1</v>
      </c>
    </row>
    <row r="11" spans="1:29" ht="29.25" customHeight="1">
      <c r="A11" s="468" t="s">
        <v>544</v>
      </c>
      <c r="B11" s="513">
        <f>G11+L11+'11-20 續1'!B11+'11-20 續1'!G11+'11-20 續1'!L11+'11-20續2 '!B11+'11-20續2 '!G11+'11-20續2 '!L11+'11-20續3完'!B11</f>
        <v>213.49</v>
      </c>
      <c r="C11" s="513">
        <f>H11+M11+'11-20 續1'!C11+'11-20 續1'!H11+'11-20 續1'!M11+'11-20續2 '!C11+'11-20續2 '!H11+'11-20續2 '!M11+'11-20續3完'!C11</f>
        <v>137</v>
      </c>
      <c r="D11" s="513">
        <f>I11+N11+'11-20 續1'!D11+'11-20 續1'!I11+'11-20 續1'!N11+'11-20續2 '!D11+'11-20續2 '!I11+'11-20續2 '!N11+'11-20續3完'!D11</f>
        <v>46</v>
      </c>
      <c r="E11" s="513">
        <f>J11+O11+'11-20 續1'!E11+'11-20 續1'!J11+'11-20 續1'!O11+'11-20續2 '!E11+'11-20續2 '!J11+'11-20續2 '!O11+'11-20續3完'!E11</f>
        <v>3</v>
      </c>
      <c r="F11" s="513">
        <f>K11+P11+'11-20 續1'!F11+'11-20 續1'!K11+'11-20 續1'!P11+'11-20續2 '!F11+'11-20續2 '!K11+'11-20續2 '!P11+'11-20續3完'!F11</f>
        <v>149.5</v>
      </c>
      <c r="G11" s="513">
        <v>36.42</v>
      </c>
      <c r="H11" s="513">
        <v>40.1</v>
      </c>
      <c r="I11" s="513">
        <v>20.15</v>
      </c>
      <c r="J11" s="513">
        <v>0</v>
      </c>
      <c r="K11" s="513">
        <v>8.54</v>
      </c>
      <c r="L11" s="513">
        <v>20.18</v>
      </c>
      <c r="M11" s="513">
        <v>15.12</v>
      </c>
      <c r="N11" s="513">
        <v>3.3</v>
      </c>
      <c r="O11" s="513">
        <v>0</v>
      </c>
      <c r="P11" s="513">
        <v>18.24</v>
      </c>
      <c r="R11" s="505">
        <v>213.49</v>
      </c>
      <c r="S11" s="505">
        <v>137</v>
      </c>
      <c r="T11" s="505">
        <v>46</v>
      </c>
      <c r="U11" s="505">
        <v>3</v>
      </c>
      <c r="V11" s="505">
        <v>149.5</v>
      </c>
      <c r="W11" s="505"/>
      <c r="Y11" s="480">
        <f t="shared" si="0"/>
        <v>1</v>
      </c>
      <c r="Z11" s="480">
        <f t="shared" si="1"/>
        <v>1</v>
      </c>
      <c r="AA11" s="480">
        <f t="shared" si="2"/>
        <v>1</v>
      </c>
      <c r="AB11" s="480">
        <f t="shared" si="3"/>
        <v>1</v>
      </c>
      <c r="AC11" s="480">
        <f t="shared" si="4"/>
        <v>1</v>
      </c>
    </row>
    <row r="12" spans="1:29" ht="29.25" customHeight="1">
      <c r="A12" s="468" t="s">
        <v>545</v>
      </c>
      <c r="B12" s="513">
        <f>G12+L12+'11-20 續1'!B12+'11-20 續1'!G12+'11-20 續1'!L12+'11-20續2 '!B12+'11-20續2 '!G12+'11-20續2 '!L12+'11-20續3完'!B12</f>
        <v>248.23999999999995</v>
      </c>
      <c r="C12" s="513">
        <f>H12+M12+'11-20 續1'!C12+'11-20 續1'!H12+'11-20 續1'!M12+'11-20續2 '!C12+'11-20續2 '!H12+'11-20續2 '!M12+'11-20續3完'!C12</f>
        <v>131.99</v>
      </c>
      <c r="D12" s="513">
        <f>I12+N12+'11-20 續1'!D12+'11-20 續1'!I12+'11-20 續1'!N12+'11-20續2 '!D12+'11-20續2 '!I12+'11-20續2 '!N12+'11-20續3完'!D12</f>
        <v>55.959999999999994</v>
      </c>
      <c r="E12" s="513">
        <f>J12+O12+'11-20 續1'!E12+'11-20 續1'!J12+'11-20 續1'!O12+'11-20續2 '!E12+'11-20續2 '!J12+'11-20續2 '!O12+'11-20續3完'!E12</f>
        <v>3</v>
      </c>
      <c r="F12" s="513">
        <f>K12+P12+'11-20 續1'!F12+'11-20 續1'!K12+'11-20 續1'!P12+'11-20續2 '!F12+'11-20續2 '!K12+'11-20續2 '!P12+'11-20續3完'!F12</f>
        <v>219.99</v>
      </c>
      <c r="G12" s="513">
        <v>41.89</v>
      </c>
      <c r="H12" s="513">
        <v>45.3</v>
      </c>
      <c r="I12" s="513">
        <v>20.64</v>
      </c>
      <c r="J12" s="513">
        <v>0</v>
      </c>
      <c r="K12" s="513">
        <v>41.25</v>
      </c>
      <c r="L12" s="513">
        <v>22.2</v>
      </c>
      <c r="M12" s="513">
        <v>12.25</v>
      </c>
      <c r="N12" s="513">
        <v>5.74</v>
      </c>
      <c r="O12" s="513">
        <v>0</v>
      </c>
      <c r="P12" s="513">
        <v>22.55</v>
      </c>
      <c r="R12" s="505">
        <v>248.23999999999995</v>
      </c>
      <c r="S12" s="505">
        <v>131.99</v>
      </c>
      <c r="T12" s="505">
        <v>55.959999999999994</v>
      </c>
      <c r="U12" s="505">
        <v>3</v>
      </c>
      <c r="V12" s="505">
        <v>219.99</v>
      </c>
      <c r="W12" s="505"/>
      <c r="Y12" s="480">
        <f t="shared" si="0"/>
        <v>1</v>
      </c>
      <c r="Z12" s="480">
        <f t="shared" si="1"/>
        <v>1</v>
      </c>
      <c r="AA12" s="480">
        <f t="shared" si="2"/>
        <v>1</v>
      </c>
      <c r="AB12" s="480">
        <f t="shared" si="3"/>
        <v>1</v>
      </c>
      <c r="AC12" s="480">
        <f t="shared" si="4"/>
        <v>1</v>
      </c>
    </row>
    <row r="13" spans="1:30" s="481" customFormat="1" ht="29.25" customHeight="1">
      <c r="A13" s="468" t="s">
        <v>546</v>
      </c>
      <c r="B13" s="513">
        <f>G13+L13+'11-20 續1'!B13+'11-20 續1'!G13+'11-20 續1'!L13+'11-20續2 '!B13+'11-20續2 '!G13+'11-20續2 '!L13+'11-20續3完'!B13</f>
        <v>326.64000000000004</v>
      </c>
      <c r="C13" s="513">
        <f>H13+M13+'11-20 續1'!C13+'11-20 續1'!H13+'11-20 續1'!M13+'11-20續2 '!C13+'11-20續2 '!H13+'11-20續2 '!M13+'11-20續3完'!C13</f>
        <v>145.8</v>
      </c>
      <c r="D13" s="513">
        <f>I13+N13+'11-20 續1'!D13+'11-20 續1'!I13+'11-20 續1'!N13+'11-20續2 '!D13+'11-20續2 '!I13+'11-20續2 '!N13+'11-20續3完'!D13</f>
        <v>68</v>
      </c>
      <c r="E13" s="513">
        <f>J13+O13+'11-20 續1'!E13+'11-20 續1'!J13+'11-20 續1'!O13+'11-20續2 '!E13+'11-20續2 '!J13+'11-20續2 '!O13+'11-20續3完'!E13</f>
        <v>6</v>
      </c>
      <c r="F13" s="513">
        <f>K13+P13+'11-20 續1'!F13+'11-20 續1'!K13+'11-20 續1'!P13+'11-20續2 '!F13+'11-20續2 '!K13+'11-20續2 '!P13+'11-20續3完'!F13</f>
        <v>227.29999999999998</v>
      </c>
      <c r="G13" s="513">
        <v>27.71</v>
      </c>
      <c r="H13" s="513">
        <v>42.84</v>
      </c>
      <c r="I13" s="513">
        <v>17.06</v>
      </c>
      <c r="J13" s="513">
        <v>0</v>
      </c>
      <c r="K13" s="513">
        <v>17.01</v>
      </c>
      <c r="L13" s="513">
        <v>26.89</v>
      </c>
      <c r="M13" s="513">
        <v>12</v>
      </c>
      <c r="N13" s="513">
        <v>9.7</v>
      </c>
      <c r="O13" s="513">
        <v>0</v>
      </c>
      <c r="P13" s="513">
        <v>21.27</v>
      </c>
      <c r="R13" s="506">
        <v>326.64000000000004</v>
      </c>
      <c r="S13" s="506">
        <v>145.8</v>
      </c>
      <c r="T13" s="506">
        <v>68</v>
      </c>
      <c r="U13" s="506">
        <v>6</v>
      </c>
      <c r="V13" s="506">
        <v>227.29999999999998</v>
      </c>
      <c r="W13" s="506"/>
      <c r="Y13" s="480">
        <f t="shared" si="0"/>
        <v>1</v>
      </c>
      <c r="Z13" s="480">
        <f t="shared" si="1"/>
        <v>1</v>
      </c>
      <c r="AA13" s="480">
        <f t="shared" si="2"/>
        <v>1</v>
      </c>
      <c r="AB13" s="480">
        <f t="shared" si="3"/>
        <v>1</v>
      </c>
      <c r="AC13" s="480">
        <f t="shared" si="4"/>
        <v>1</v>
      </c>
      <c r="AD13" s="480"/>
    </row>
    <row r="14" spans="1:29" ht="29.25" customHeight="1">
      <c r="A14" s="468" t="s">
        <v>547</v>
      </c>
      <c r="B14" s="513">
        <f>G14+L14+'11-20 續1'!B14+'11-20 續1'!G14+'11-20 續1'!L14+'11-20續2 '!B14+'11-20續2 '!G14+'11-20續2 '!L14+'11-20續3完'!B14+'11-20續3完'!G14+'11-20續3完'!L14</f>
        <v>400.05</v>
      </c>
      <c r="C14" s="513">
        <f>H14+M14+'11-20 續1'!C14+'11-20 續1'!H14+'11-20 續1'!M14+'11-20續2 '!C14+'11-20續2 '!H14+'11-20續2 '!M14+'11-20續3完'!C14+'11-20續3完'!H14+'11-20續3完'!M14</f>
        <v>400</v>
      </c>
      <c r="D14" s="513">
        <f>I14+N14+'11-20 續1'!D14+'11-20 續1'!I14+'11-20 續1'!N14+'11-20續2 '!D14+'11-20續2 '!I14+'11-20續2 '!N14+'11-20續3完'!D14+'11-20續3完'!I14+'11-20續3完'!N14</f>
        <v>106</v>
      </c>
      <c r="E14" s="513">
        <f>J14+O14+'11-20 續1'!E14+'11-20 續1'!J14+'11-20 續1'!O14+'11-20續2 '!E14+'11-20續2 '!J14+'11-20續2 '!O14+'11-20續3完'!E14+'11-20續3完'!J14+'11-20續3完'!O14</f>
        <v>808.5</v>
      </c>
      <c r="F14" s="513">
        <f>K14+P14+'11-20 續1'!F14+'11-20 續1'!K14+'11-20 續1'!P14+'11-20續2 '!F14+'11-20續2 '!K14+'11-20續2 '!P14+'11-20續3完'!F14+'11-20續3完'!K14+'11-20續3完'!P14</f>
        <v>349.5</v>
      </c>
      <c r="G14" s="513">
        <v>47.03</v>
      </c>
      <c r="H14" s="513">
        <v>96</v>
      </c>
      <c r="I14" s="513">
        <v>8</v>
      </c>
      <c r="J14" s="513">
        <v>102</v>
      </c>
      <c r="K14" s="513">
        <v>25.5</v>
      </c>
      <c r="L14" s="513">
        <v>17.82</v>
      </c>
      <c r="M14" s="513">
        <v>11</v>
      </c>
      <c r="N14" s="513">
        <v>9</v>
      </c>
      <c r="O14" s="513">
        <v>1</v>
      </c>
      <c r="P14" s="513">
        <v>19.76</v>
      </c>
      <c r="R14" s="505">
        <v>400.05</v>
      </c>
      <c r="S14" s="505">
        <v>400</v>
      </c>
      <c r="T14" s="505">
        <v>106</v>
      </c>
      <c r="U14" s="505">
        <v>808.5</v>
      </c>
      <c r="V14" s="505">
        <v>349.5</v>
      </c>
      <c r="W14" s="505"/>
      <c r="Y14" s="480">
        <f t="shared" si="0"/>
        <v>1</v>
      </c>
      <c r="Z14" s="480">
        <f t="shared" si="1"/>
        <v>1</v>
      </c>
      <c r="AA14" s="480">
        <f t="shared" si="2"/>
        <v>1</v>
      </c>
      <c r="AB14" s="480">
        <f t="shared" si="3"/>
        <v>1</v>
      </c>
      <c r="AC14" s="480">
        <f t="shared" si="4"/>
        <v>1</v>
      </c>
    </row>
    <row r="15" spans="1:29" ht="29.25" customHeight="1">
      <c r="A15" s="468" t="s">
        <v>1020</v>
      </c>
      <c r="B15" s="513">
        <f>G15+L15+'11-20 續1'!B15+'11-20 續1'!G15+'11-20 續1'!L15+'11-20續2 '!B15+'11-20續2 '!G15+'11-20續2 '!L15+'11-20續3完'!B15+'11-20續3完'!G15+'11-20續3完'!L15</f>
        <v>383</v>
      </c>
      <c r="C15" s="513">
        <f>H15+M15+'11-20 續1'!C15+'11-20 續1'!H15+'11-20 續1'!M15+'11-20續2 '!C15+'11-20續2 '!H15+'11-20續2 '!M15+'11-20續3完'!C15+'11-20續3完'!H15+'11-20續3完'!M15</f>
        <v>465</v>
      </c>
      <c r="D15" s="513">
        <f>I15+N15+'11-20 續1'!D15+'11-20 續1'!I15+'11-20 續1'!N15+'11-20續2 '!D15+'11-20續2 '!I15+'11-20續2 '!N15+'11-20續3完'!D15+'11-20續3完'!I15+'11-20續3完'!N15</f>
        <v>121</v>
      </c>
      <c r="E15" s="513">
        <f>J15+O15+'11-20 續1'!E15+'11-20 續1'!J15+'11-20 續1'!O15+'11-20續2 '!E15+'11-20續2 '!J15+'11-20續2 '!O15+'11-20續3完'!E15+'11-20續3完'!J15+'11-20續3完'!O15</f>
        <v>1435</v>
      </c>
      <c r="F15" s="513">
        <f>K15+P15+'11-20 續1'!F15+'11-20 續1'!K15+'11-20 續1'!P15+'11-20續2 '!F15+'11-20續2 '!K15+'11-20續2 '!P15+'11-20續3完'!F15+'11-20續3完'!K15+'11-20續3完'!P15</f>
        <v>375</v>
      </c>
      <c r="G15" s="513">
        <v>45.08</v>
      </c>
      <c r="H15" s="513">
        <v>68.1</v>
      </c>
      <c r="I15" s="513">
        <v>11</v>
      </c>
      <c r="J15" s="513">
        <v>139</v>
      </c>
      <c r="K15" s="513">
        <v>37.58</v>
      </c>
      <c r="L15" s="513">
        <v>27.51</v>
      </c>
      <c r="M15" s="513">
        <v>9.1</v>
      </c>
      <c r="N15" s="513">
        <v>12</v>
      </c>
      <c r="O15" s="513">
        <v>0</v>
      </c>
      <c r="P15" s="513">
        <v>13.329999999999998</v>
      </c>
      <c r="R15" s="505">
        <v>383</v>
      </c>
      <c r="S15" s="505">
        <v>465</v>
      </c>
      <c r="T15" s="505">
        <v>121</v>
      </c>
      <c r="U15" s="505">
        <v>1435</v>
      </c>
      <c r="V15" s="505">
        <v>375</v>
      </c>
      <c r="W15" s="505"/>
      <c r="Y15" s="480">
        <f t="shared" si="0"/>
        <v>1</v>
      </c>
      <c r="Z15" s="480">
        <f t="shared" si="1"/>
        <v>1</v>
      </c>
      <c r="AA15" s="480">
        <f t="shared" si="2"/>
        <v>1</v>
      </c>
      <c r="AB15" s="480">
        <f t="shared" si="3"/>
        <v>1</v>
      </c>
      <c r="AC15" s="480">
        <f t="shared" si="4"/>
        <v>1</v>
      </c>
    </row>
    <row r="16" spans="1:29" ht="29.25" customHeight="1">
      <c r="A16" s="468" t="s">
        <v>1209</v>
      </c>
      <c r="B16" s="513">
        <f aca="true" t="shared" si="5" ref="B16:G16">B17+B25+B28</f>
        <v>385</v>
      </c>
      <c r="C16" s="513">
        <f t="shared" si="5"/>
        <v>518</v>
      </c>
      <c r="D16" s="513">
        <f t="shared" si="5"/>
        <v>164</v>
      </c>
      <c r="E16" s="513">
        <f t="shared" si="5"/>
        <v>1831</v>
      </c>
      <c r="F16" s="513">
        <f t="shared" si="5"/>
        <v>297</v>
      </c>
      <c r="G16" s="513">
        <f t="shared" si="5"/>
        <v>39.01</v>
      </c>
      <c r="H16" s="513">
        <f aca="true" t="shared" si="6" ref="H16:P16">H17+H25+H28</f>
        <v>66</v>
      </c>
      <c r="I16" s="513">
        <f t="shared" si="6"/>
        <v>21</v>
      </c>
      <c r="J16" s="513">
        <f t="shared" si="6"/>
        <v>137</v>
      </c>
      <c r="K16" s="513">
        <f t="shared" si="6"/>
        <v>17.380000000000003</v>
      </c>
      <c r="L16" s="513">
        <f t="shared" si="6"/>
        <v>42.36</v>
      </c>
      <c r="M16" s="513">
        <f t="shared" si="6"/>
        <v>5</v>
      </c>
      <c r="N16" s="513">
        <f t="shared" si="6"/>
        <v>14</v>
      </c>
      <c r="O16" s="513">
        <f t="shared" si="6"/>
        <v>0</v>
      </c>
      <c r="P16" s="513">
        <f t="shared" si="6"/>
        <v>27.53</v>
      </c>
      <c r="R16" s="505">
        <f>G16+L16+'11-20 續1'!B16+'11-20 續1'!G16+'11-20 續1'!L16+'11-20續2 '!B16+'11-20續2 '!G16+'11-20續2 '!L16+'11-20續3完'!B16+'11-20續3完'!G16+'11-20續3完'!L16</f>
        <v>385.00000000000006</v>
      </c>
      <c r="S16" s="505">
        <f>H16+M16+'11-20 續1'!C16+'11-20 續1'!H16+'11-20 續1'!M16+'11-20續2 '!C16+'11-20續2 '!H16+'11-20續2 '!M16+'11-20續3完'!C16+'11-20續3完'!H16+'11-20續3完'!M16</f>
        <v>518</v>
      </c>
      <c r="T16" s="505">
        <f>I16+N16+'11-20 續1'!D16+'11-20 續1'!I16+'11-20 續1'!N16+'11-20續2 '!D16+'11-20續2 '!I16+'11-20續2 '!N16+'11-20續3完'!D16+'11-20續3完'!I16+'11-20續3完'!N16</f>
        <v>164</v>
      </c>
      <c r="U16" s="505">
        <f>J16+O16+'11-20 續1'!E16+'11-20 續1'!J16+'11-20 續1'!O16+'11-20續2 '!E16+'11-20續2 '!J16+'11-20續2 '!O16+'11-20續3完'!E16+'11-20續3完'!J16+'11-20續3完'!O16</f>
        <v>1831</v>
      </c>
      <c r="V16" s="505">
        <f>K16+P16+'11-20 續1'!F16+'11-20 續1'!K16+'11-20 續1'!P16+'11-20續2 '!F16+'11-20續2 '!K16+'11-20續2 '!P16+'11-20續3完'!F16+'11-20續3完'!K16+'11-20續3完'!P16</f>
        <v>297</v>
      </c>
      <c r="W16" s="505"/>
      <c r="Y16" s="480">
        <f>IF(B16=R16,1)</f>
        <v>1</v>
      </c>
      <c r="Z16" s="480">
        <f t="shared" si="1"/>
        <v>1</v>
      </c>
      <c r="AA16" s="480">
        <f t="shared" si="2"/>
        <v>1</v>
      </c>
      <c r="AB16" s="480">
        <f t="shared" si="3"/>
        <v>1</v>
      </c>
      <c r="AC16" s="480">
        <f t="shared" si="4"/>
        <v>1</v>
      </c>
    </row>
    <row r="17" spans="1:16" s="481" customFormat="1" ht="30" customHeight="1">
      <c r="A17" s="468" t="s">
        <v>552</v>
      </c>
      <c r="B17" s="508">
        <f>G17+L17+'11-20 續1'!B17+'11-20 續1'!G17+'11-20 續1'!L17+'11-20續2 '!B17+'11-20續2 '!G17+'11-20續2 '!L17+'11-20續3完'!B17+'11-20續3完'!G17+'11-20續3完'!L17</f>
        <v>297</v>
      </c>
      <c r="C17" s="508">
        <f>H17+M17+'11-20 續1'!C17+'11-20 續1'!H17+'11-20 續1'!M17+'11-20續2 '!C17+'11-20續2 '!H17+'11-20續2 '!M17+'11-20續3完'!C17+'11-20續3完'!H17+'11-20續3完'!M17</f>
        <v>142</v>
      </c>
      <c r="D17" s="508">
        <f>I17+N17+'11-20 續1'!D17+'11-20 續1'!I17+'11-20 續1'!N17+'11-20續2 '!D17+'11-20續2 '!I17+'11-20續2 '!N17+'11-20續3完'!D17+'11-20續3完'!I17+'11-20續3完'!N17</f>
        <v>139</v>
      </c>
      <c r="E17" s="508">
        <f>J17+O17+'11-20 續1'!E17+'11-20 續1'!J17+'11-20 續1'!O17+'11-20續2 '!E17+'11-20續2 '!J17+'11-20續2 '!O17+'11-20續3完'!E17+'11-20續3完'!J17+'11-20續3完'!O17</f>
        <v>0</v>
      </c>
      <c r="F17" s="508">
        <f>K17+P17+'11-20 續1'!F17+'11-20 續1'!K17+'11-20 續1'!P17+'11-20續2 '!F17+'11-20續2 '!K17+'11-20續2 '!P17+'11-20續3完'!F17+'11-20續3完'!K17+'11-20續3完'!P17</f>
        <v>268</v>
      </c>
      <c r="G17" s="508">
        <f aca="true" t="shared" si="7" ref="G17:P17">SUM(G19:G23)</f>
        <v>20.009999999999998</v>
      </c>
      <c r="H17" s="508">
        <f t="shared" si="7"/>
        <v>4</v>
      </c>
      <c r="I17" s="508">
        <f t="shared" si="7"/>
        <v>7</v>
      </c>
      <c r="J17" s="508">
        <f t="shared" si="7"/>
        <v>0</v>
      </c>
      <c r="K17" s="508">
        <f t="shared" si="7"/>
        <v>17.380000000000003</v>
      </c>
      <c r="L17" s="508">
        <f t="shared" si="7"/>
        <v>37.36</v>
      </c>
      <c r="M17" s="508">
        <f t="shared" si="7"/>
        <v>1</v>
      </c>
      <c r="N17" s="508">
        <f t="shared" si="7"/>
        <v>14</v>
      </c>
      <c r="O17" s="508">
        <f t="shared" si="7"/>
        <v>0</v>
      </c>
      <c r="P17" s="508">
        <f t="shared" si="7"/>
        <v>27.53</v>
      </c>
    </row>
    <row r="18" spans="1:16" s="482" customFormat="1" ht="12" customHeight="1">
      <c r="A18" s="470" t="s">
        <v>452</v>
      </c>
      <c r="B18" s="508"/>
      <c r="C18" s="508"/>
      <c r="D18" s="508"/>
      <c r="E18" s="508"/>
      <c r="F18" s="508"/>
      <c r="G18" s="509"/>
      <c r="H18" s="509"/>
      <c r="I18" s="509"/>
      <c r="J18" s="509"/>
      <c r="K18" s="509"/>
      <c r="L18" s="509"/>
      <c r="M18" s="509"/>
      <c r="N18" s="509"/>
      <c r="O18" s="509"/>
      <c r="P18" s="509"/>
    </row>
    <row r="19" spans="1:16" ht="30" customHeight="1">
      <c r="A19" s="468" t="s">
        <v>549</v>
      </c>
      <c r="B19" s="508">
        <f>G19+L19+'11-20 續1'!B19+'11-20 續1'!G19+'11-20 續1'!L19+'11-20續2 '!B19+'11-20續2 '!G19+'11-20續2 '!L19+'11-20續3完'!B19+'11-20續3完'!G19+'11-20續3完'!L19</f>
        <v>130</v>
      </c>
      <c r="C19" s="508">
        <f>H19+M19+'11-20 續1'!C19+'11-20 續1'!H19+'11-20 續1'!M19+'11-20續2 '!C19+'11-20續2 '!H19+'11-20續2 '!M19+'11-20續3完'!C19+'11-20續3完'!H19+'11-20續3完'!M19</f>
        <v>85</v>
      </c>
      <c r="D19" s="508">
        <f>I19+N19+'11-20 續1'!D19+'11-20 續1'!I19+'11-20 續1'!N19+'11-20續2 '!D19+'11-20續2 '!I19+'11-20續2 '!N19+'11-20續3完'!D19+'11-20續3完'!I19+'11-20續3完'!N19</f>
        <v>89</v>
      </c>
      <c r="E19" s="508">
        <f>J19+O19+'11-20 續1'!E19+'11-20 續1'!J19+'11-20 續1'!O19+'11-20續2 '!E19+'11-20續2 '!J19+'11-20續2 '!O19+'11-20續3完'!E19+'11-20續3完'!J19+'11-20續3完'!O19</f>
        <v>0</v>
      </c>
      <c r="F19" s="508">
        <f>K19+P19+'11-20 續1'!F19+'11-20 續1'!K19+'11-20 續1'!P19+'11-20續2 '!F19+'11-20續2 '!K19+'11-20續2 '!P19+'11-20續3完'!F19+'11-20續3完'!K19+'11-20續3完'!P19</f>
        <v>73</v>
      </c>
      <c r="G19" s="508">
        <v>8</v>
      </c>
      <c r="H19" s="508">
        <v>4</v>
      </c>
      <c r="I19" s="508">
        <v>7</v>
      </c>
      <c r="J19" s="508">
        <v>0</v>
      </c>
      <c r="K19" s="508">
        <v>2</v>
      </c>
      <c r="L19" s="508">
        <v>20</v>
      </c>
      <c r="M19" s="508">
        <v>1</v>
      </c>
      <c r="N19" s="508">
        <v>14</v>
      </c>
      <c r="O19" s="508">
        <v>0</v>
      </c>
      <c r="P19" s="508">
        <v>2</v>
      </c>
    </row>
    <row r="20" spans="1:16" ht="12" customHeight="1">
      <c r="A20" s="470" t="s">
        <v>457</v>
      </c>
      <c r="B20" s="508"/>
      <c r="C20" s="508"/>
      <c r="D20" s="508"/>
      <c r="E20" s="508"/>
      <c r="F20" s="508"/>
      <c r="G20" s="508"/>
      <c r="H20" s="510"/>
      <c r="I20" s="510"/>
      <c r="J20" s="510"/>
      <c r="K20" s="510"/>
      <c r="L20" s="510"/>
      <c r="M20" s="510"/>
      <c r="N20" s="510"/>
      <c r="O20" s="508"/>
      <c r="P20" s="510"/>
    </row>
    <row r="21" spans="1:16" ht="30" customHeight="1">
      <c r="A21" s="468" t="s">
        <v>550</v>
      </c>
      <c r="B21" s="508">
        <f>G21+L21+'11-20 續1'!B21+'11-20 續1'!G21+'11-20 續1'!L21+'11-20續2 '!B21+'11-20續2 '!G21+'11-20續2 '!L21+'11-20續3完'!B21+'11-20續3完'!G21+'11-20續3完'!L21</f>
        <v>155</v>
      </c>
      <c r="C21" s="508">
        <f>H21+M21+'11-20 續1'!C21+'11-20 續1'!H21+'11-20 續1'!M21+'11-20續2 '!C21+'11-20續2 '!H21+'11-20續2 '!M21+'11-20續3完'!C21+'11-20續3完'!H21+'11-20續3完'!M21</f>
        <v>0</v>
      </c>
      <c r="D21" s="508">
        <f>I21+N21+'11-20 續1'!D21+'11-20 續1'!I21+'11-20 續1'!N21+'11-20續2 '!D21+'11-20續2 '!I21+'11-20續2 '!N21+'11-20續3完'!D21+'11-20續3完'!I21+'11-20續3完'!N21</f>
        <v>0</v>
      </c>
      <c r="E21" s="508">
        <f>J21+O21+'11-20 續1'!E21+'11-20 續1'!J21+'11-20 續1'!O21+'11-20續2 '!E21+'11-20續2 '!J21+'11-20續2 '!O21+'11-20續3完'!E21+'11-20續3完'!J21+'11-20續3完'!O21</f>
        <v>0</v>
      </c>
      <c r="F21" s="508">
        <f>K21+P21+'11-20 續1'!F21+'11-20 續1'!K21+'11-20 續1'!P21+'11-20續2 '!F21+'11-20續2 '!K21+'11-20續2 '!P21+'11-20續3完'!F21+'11-20續3完'!K21+'11-20續3完'!P21</f>
        <v>188</v>
      </c>
      <c r="G21" s="508">
        <v>12.01</v>
      </c>
      <c r="H21" s="508">
        <v>0</v>
      </c>
      <c r="I21" s="508">
        <v>0</v>
      </c>
      <c r="J21" s="508">
        <v>0</v>
      </c>
      <c r="K21" s="508">
        <v>15.38</v>
      </c>
      <c r="L21" s="508">
        <v>17.36</v>
      </c>
      <c r="M21" s="508">
        <v>0</v>
      </c>
      <c r="N21" s="508">
        <v>0</v>
      </c>
      <c r="O21" s="508">
        <v>0</v>
      </c>
      <c r="P21" s="508">
        <v>25.53</v>
      </c>
    </row>
    <row r="22" spans="1:16" ht="12" customHeight="1">
      <c r="A22" s="470" t="s">
        <v>453</v>
      </c>
      <c r="B22" s="508"/>
      <c r="C22" s="508"/>
      <c r="D22" s="508"/>
      <c r="E22" s="508"/>
      <c r="F22" s="508"/>
      <c r="G22" s="508"/>
      <c r="H22" s="511"/>
      <c r="I22" s="511"/>
      <c r="J22" s="511"/>
      <c r="K22" s="511"/>
      <c r="L22" s="511"/>
      <c r="M22" s="508"/>
      <c r="N22" s="508"/>
      <c r="O22" s="508"/>
      <c r="P22" s="511"/>
    </row>
    <row r="23" spans="1:16" s="483" customFormat="1" ht="30" customHeight="1">
      <c r="A23" s="468" t="s">
        <v>1252</v>
      </c>
      <c r="B23" s="508">
        <f>G23+L23+'11-20 續1'!B23+'11-20 續1'!G23+'11-20 續1'!L23+'11-20續2 '!B23+'11-20續2 '!G23+'11-20續2 '!L23+'11-20續3完'!B23+'11-20續3完'!G23+'11-20續3完'!L23</f>
        <v>12</v>
      </c>
      <c r="C23" s="508">
        <f>H23+M23+'11-20 續1'!C23+'11-20 續1'!H23+'11-20 續1'!M23+'11-20續2 '!C23+'11-20續2 '!H23+'11-20續2 '!M23+'11-20續3完'!C23+'11-20續3完'!H23+'11-20續3完'!M23</f>
        <v>57</v>
      </c>
      <c r="D23" s="508">
        <f>I23+N23+'11-20 續1'!D23+'11-20 續1'!I23+'11-20 續1'!N23+'11-20續2 '!D23+'11-20續2 '!I23+'11-20續2 '!N23+'11-20續3完'!D23+'11-20續3完'!I23+'11-20續3完'!N23</f>
        <v>50</v>
      </c>
      <c r="E23" s="508">
        <f>J23+O23+'11-20 續1'!E23+'11-20 續1'!J23+'11-20 續1'!O23+'11-20續2 '!E23+'11-20續2 '!J23+'11-20續2 '!O23+'11-20續3完'!E23+'11-20續3完'!J23+'11-20續3完'!O23</f>
        <v>0</v>
      </c>
      <c r="F23" s="508">
        <f>K23+P23+'11-20 續1'!F23+'11-20 續1'!K23+'11-20 續1'!P23+'11-20續2 '!F23+'11-20續2 '!K23+'11-20續2 '!P23+'11-20續3完'!F23+'11-20續3完'!K23+'11-20續3完'!P23</f>
        <v>7</v>
      </c>
      <c r="G23" s="508">
        <v>0</v>
      </c>
      <c r="H23" s="508">
        <v>0</v>
      </c>
      <c r="I23" s="508">
        <v>0</v>
      </c>
      <c r="J23" s="508">
        <v>0</v>
      </c>
      <c r="K23" s="508">
        <v>0</v>
      </c>
      <c r="L23" s="508">
        <v>0</v>
      </c>
      <c r="M23" s="508">
        <v>0</v>
      </c>
      <c r="N23" s="508">
        <v>0</v>
      </c>
      <c r="O23" s="508">
        <v>0</v>
      </c>
      <c r="P23" s="508">
        <v>0</v>
      </c>
    </row>
    <row r="24" spans="1:16" s="483" customFormat="1" ht="12" customHeight="1">
      <c r="A24" s="470" t="s">
        <v>454</v>
      </c>
      <c r="B24" s="508"/>
      <c r="C24" s="508"/>
      <c r="D24" s="508"/>
      <c r="E24" s="508"/>
      <c r="F24" s="508"/>
      <c r="G24" s="508"/>
      <c r="H24" s="512"/>
      <c r="I24" s="512"/>
      <c r="J24" s="512"/>
      <c r="K24" s="508"/>
      <c r="L24" s="512"/>
      <c r="M24" s="512"/>
      <c r="N24" s="512"/>
      <c r="O24" s="508"/>
      <c r="P24" s="512"/>
    </row>
    <row r="25" spans="1:16" ht="30" customHeight="1">
      <c r="A25" s="468" t="s">
        <v>551</v>
      </c>
      <c r="B25" s="508">
        <f>G25+L25+'11-20 續1'!B25+'11-20 續1'!G25+'11-20 續1'!L25+'11-20續2 '!B25+'11-20續2 '!G25+'11-20續2 '!L25+'11-20續3完'!B25+'11-20續3完'!G25+'11-20續3完'!L25</f>
        <v>26</v>
      </c>
      <c r="C25" s="508">
        <f>H25+M25+'11-20 續1'!C25+'11-20 續1'!H25+'11-20 續1'!M25+'11-20續2 '!C25+'11-20續2 '!H25+'11-20續2 '!M25+'11-20續3完'!C25+'11-20續3完'!H25+'11-20續3完'!M25</f>
        <v>30</v>
      </c>
      <c r="D25" s="508">
        <f>I25+N25+'11-20 續1'!D25+'11-20 續1'!I25+'11-20 續1'!N25+'11-20續2 '!D25+'11-20續2 '!I25+'11-20續2 '!N25+'11-20續3完'!D25+'11-20續3完'!I25+'11-20續3完'!N25</f>
        <v>1</v>
      </c>
      <c r="E25" s="508">
        <f>J25+O25+'11-20 續1'!E25+'11-20 續1'!J25+'11-20 續1'!O25+'11-20續2 '!E25+'11-20續2 '!J25+'11-20續2 '!O25+'11-20續3完'!E25+'11-20續3完'!J25+'11-20續3完'!O25</f>
        <v>119</v>
      </c>
      <c r="F25" s="508">
        <f>K25+P25+'11-20 續1'!F25+'11-20 續1'!K25+'11-20 續1'!P25+'11-20續2 '!F25+'11-20續2 '!K25+'11-20續2 '!P25+'11-20續3完'!F25+'11-20續3完'!K25+'11-20續3完'!P25</f>
        <v>8</v>
      </c>
      <c r="G25" s="508">
        <v>16</v>
      </c>
      <c r="H25" s="508">
        <v>6</v>
      </c>
      <c r="I25" s="508">
        <v>0</v>
      </c>
      <c r="J25" s="508">
        <v>55</v>
      </c>
      <c r="K25" s="508">
        <v>0</v>
      </c>
      <c r="L25" s="508">
        <v>2</v>
      </c>
      <c r="M25" s="508">
        <v>1</v>
      </c>
      <c r="N25" s="508">
        <v>0</v>
      </c>
      <c r="O25" s="508">
        <v>0</v>
      </c>
      <c r="P25" s="508">
        <v>0</v>
      </c>
    </row>
    <row r="26" spans="1:16" s="484" customFormat="1" ht="12" customHeight="1">
      <c r="A26" s="470" t="s">
        <v>455</v>
      </c>
      <c r="B26" s="508"/>
      <c r="C26" s="508"/>
      <c r="D26" s="508"/>
      <c r="E26" s="508"/>
      <c r="F26" s="508"/>
      <c r="G26" s="508"/>
      <c r="H26" s="508"/>
      <c r="I26" s="508"/>
      <c r="J26" s="508"/>
      <c r="K26" s="508"/>
      <c r="L26" s="508"/>
      <c r="M26" s="508"/>
      <c r="N26" s="508"/>
      <c r="O26" s="508"/>
      <c r="P26" s="508"/>
    </row>
    <row r="27" spans="1:16" s="484" customFormat="1" ht="12" customHeight="1">
      <c r="A27" s="470" t="s">
        <v>456</v>
      </c>
      <c r="B27" s="508"/>
      <c r="C27" s="508"/>
      <c r="D27" s="508"/>
      <c r="E27" s="508"/>
      <c r="F27" s="508"/>
      <c r="G27" s="508"/>
      <c r="H27" s="508"/>
      <c r="I27" s="508"/>
      <c r="J27" s="508"/>
      <c r="K27" s="508"/>
      <c r="L27" s="508"/>
      <c r="M27" s="508"/>
      <c r="N27" s="508"/>
      <c r="O27" s="508"/>
      <c r="P27" s="508"/>
    </row>
    <row r="28" spans="1:16" ht="30" customHeight="1">
      <c r="A28" s="468" t="s">
        <v>1253</v>
      </c>
      <c r="B28" s="508">
        <f>G28+L28+'11-20 續1'!B28+'11-20 續1'!G28+'11-20 續1'!L28+'11-20續2 '!B28+'11-20續2 '!G28+'11-20續2 '!L28+'11-20續3完'!B28+'11-20續3完'!G28+'11-20續3完'!L28</f>
        <v>62</v>
      </c>
      <c r="C28" s="508">
        <f>H28+M28+'11-20 續1'!C28+'11-20 續1'!H28+'11-20 續1'!M28+'11-20續2 '!C28+'11-20續2 '!H28+'11-20續2 '!M28+'11-20續3完'!C28+'11-20續3完'!H28+'11-20續3完'!M28</f>
        <v>346</v>
      </c>
      <c r="D28" s="508">
        <f>I28+N28+'11-20 續1'!D28+'11-20 續1'!I28+'11-20 續1'!N28+'11-20續2 '!D28+'11-20續2 '!I28+'11-20續2 '!N28+'11-20續3完'!D28+'11-20續3完'!I28+'11-20續3完'!N28</f>
        <v>24</v>
      </c>
      <c r="E28" s="508">
        <f>J28+O28+'11-20 續1'!E28+'11-20 續1'!J28+'11-20 續1'!O28+'11-20續2 '!E28+'11-20續2 '!J28+'11-20續2 '!O28+'11-20續3完'!E28+'11-20續3完'!J28+'11-20續3完'!O28</f>
        <v>1712</v>
      </c>
      <c r="F28" s="508">
        <f>K28+P28+'11-20 續1'!F28+'11-20 續1'!K28+'11-20 續1'!P28+'11-20續2 '!F28+'11-20續2 '!K28+'11-20續2 '!P28+'11-20續3完'!F28+'11-20續3完'!K28+'11-20續3完'!P28</f>
        <v>21</v>
      </c>
      <c r="G28" s="508">
        <v>3</v>
      </c>
      <c r="H28" s="508">
        <v>56</v>
      </c>
      <c r="I28" s="508">
        <v>14</v>
      </c>
      <c r="J28" s="508">
        <v>82</v>
      </c>
      <c r="K28" s="508">
        <v>0</v>
      </c>
      <c r="L28" s="508">
        <v>3</v>
      </c>
      <c r="M28" s="508">
        <v>3</v>
      </c>
      <c r="N28" s="508">
        <v>0</v>
      </c>
      <c r="O28" s="508">
        <v>0</v>
      </c>
      <c r="P28" s="508">
        <v>0</v>
      </c>
    </row>
    <row r="29" spans="1:16" ht="12" customHeight="1">
      <c r="A29" s="468" t="s">
        <v>1246</v>
      </c>
      <c r="B29" s="508"/>
      <c r="C29" s="513"/>
      <c r="D29" s="513"/>
      <c r="E29" s="513"/>
      <c r="F29" s="513"/>
      <c r="G29" s="513"/>
      <c r="H29" s="513"/>
      <c r="I29" s="513"/>
      <c r="J29" s="513"/>
      <c r="K29" s="513"/>
      <c r="L29" s="513"/>
      <c r="M29" s="513"/>
      <c r="N29" s="513"/>
      <c r="O29" s="513"/>
      <c r="P29" s="513"/>
    </row>
    <row r="30" spans="1:16" ht="12" customHeight="1" thickBot="1">
      <c r="A30" s="471" t="s">
        <v>1210</v>
      </c>
      <c r="B30" s="464"/>
      <c r="C30" s="127"/>
      <c r="D30" s="127"/>
      <c r="E30" s="127"/>
      <c r="F30" s="127"/>
      <c r="G30" s="127"/>
      <c r="H30" s="127"/>
      <c r="I30" s="127"/>
      <c r="J30" s="127"/>
      <c r="K30" s="127"/>
      <c r="L30" s="127"/>
      <c r="M30" s="127"/>
      <c r="N30" s="127"/>
      <c r="O30" s="127"/>
      <c r="P30" s="127"/>
    </row>
    <row r="31" spans="1:16" s="218" customFormat="1" ht="15" customHeight="1">
      <c r="A31" s="175" t="s">
        <v>1080</v>
      </c>
      <c r="B31" s="449"/>
      <c r="C31" s="449"/>
      <c r="D31" s="449"/>
      <c r="E31" s="449"/>
      <c r="F31" s="449"/>
      <c r="G31" s="449"/>
      <c r="H31" s="214" t="s">
        <v>126</v>
      </c>
      <c r="I31" s="449"/>
      <c r="J31" s="449"/>
      <c r="K31" s="449"/>
      <c r="M31" s="449"/>
      <c r="P31" s="449"/>
    </row>
    <row r="32" spans="1:11" s="218" customFormat="1" ht="15" customHeight="1">
      <c r="A32" s="175" t="s">
        <v>1096</v>
      </c>
      <c r="B32" s="175"/>
      <c r="C32" s="175"/>
      <c r="D32" s="175"/>
      <c r="E32" s="175"/>
      <c r="F32" s="175"/>
      <c r="G32" s="175"/>
      <c r="H32" s="184" t="s">
        <v>388</v>
      </c>
      <c r="I32" s="175"/>
      <c r="J32" s="175"/>
      <c r="K32" s="175"/>
    </row>
    <row r="33" spans="1:8" s="218" customFormat="1" ht="15" customHeight="1">
      <c r="A33" s="175" t="s">
        <v>1261</v>
      </c>
      <c r="H33" s="184" t="s">
        <v>389</v>
      </c>
    </row>
    <row r="34" spans="1:8" s="218" customFormat="1" ht="15" customHeight="1">
      <c r="A34" s="184"/>
      <c r="H34" s="184" t="s">
        <v>1265</v>
      </c>
    </row>
    <row r="35" spans="1:8" s="218" customFormat="1" ht="15" customHeight="1">
      <c r="A35" s="175" t="s">
        <v>1097</v>
      </c>
      <c r="H35" s="184" t="s">
        <v>1266</v>
      </c>
    </row>
    <row r="36" spans="1:16" s="253" customFormat="1" ht="16.5" customHeight="1">
      <c r="A36" s="218"/>
      <c r="B36" s="218"/>
      <c r="C36" s="218"/>
      <c r="D36" s="218"/>
      <c r="E36" s="218"/>
      <c r="F36" s="218"/>
      <c r="G36" s="218"/>
      <c r="H36" s="979"/>
      <c r="I36" s="979"/>
      <c r="J36" s="979"/>
      <c r="K36" s="979"/>
      <c r="L36" s="979"/>
      <c r="M36" s="979"/>
      <c r="N36" s="979"/>
      <c r="O36" s="979"/>
      <c r="P36" s="979"/>
    </row>
    <row r="37" spans="1:16" s="218" customFormat="1" ht="16.5" customHeight="1">
      <c r="A37" s="485"/>
      <c r="B37" s="449"/>
      <c r="C37" s="449"/>
      <c r="D37" s="449"/>
      <c r="E37" s="449"/>
      <c r="F37" s="449"/>
      <c r="G37" s="449"/>
      <c r="H37" s="449"/>
      <c r="I37" s="449"/>
      <c r="J37" s="449"/>
      <c r="K37" s="449"/>
      <c r="L37" s="449"/>
      <c r="M37" s="449"/>
      <c r="N37" s="449"/>
      <c r="O37" s="449"/>
      <c r="P37" s="449"/>
    </row>
    <row r="38" s="218" customFormat="1" ht="15" customHeight="1"/>
    <row r="39" s="218" customFormat="1" ht="13.5" customHeight="1"/>
    <row r="40" s="218" customFormat="1" ht="13.5" customHeight="1"/>
    <row r="41" s="218" customFormat="1" ht="13.5" customHeight="1"/>
    <row r="42" s="218" customFormat="1" ht="13.5" customHeight="1"/>
    <row r="43" s="218" customFormat="1" ht="25.5" customHeight="1"/>
    <row r="44" s="218" customFormat="1" ht="12.75">
      <c r="H44" s="184"/>
    </row>
  </sheetData>
  <sheetProtection/>
  <mergeCells count="7">
    <mergeCell ref="H36:P36"/>
    <mergeCell ref="A2:G2"/>
    <mergeCell ref="H2:P2"/>
    <mergeCell ref="A4:A6"/>
    <mergeCell ref="B4:F4"/>
    <mergeCell ref="H4:K4"/>
    <mergeCell ref="L4:P4"/>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colBreaks count="1" manualBreakCount="1">
    <brk id="7" max="65535" man="1"/>
  </colBreaks>
</worksheet>
</file>

<file path=xl/worksheets/sheet29.xml><?xml version="1.0" encoding="utf-8"?>
<worksheet xmlns="http://schemas.openxmlformats.org/spreadsheetml/2006/main" xmlns:r="http://schemas.openxmlformats.org/officeDocument/2006/relationships">
  <dimension ref="A1:P36"/>
  <sheetViews>
    <sheetView showGridLines="0" view="pageBreakPreview" zoomScale="85" zoomScaleNormal="76" zoomScaleSheetLayoutView="85" workbookViewId="0" topLeftCell="A1">
      <pane xSplit="1" ySplit="6" topLeftCell="B7" activePane="bottomRight" state="frozen"/>
      <selection pane="topLeft" activeCell="A1" sqref="A1"/>
      <selection pane="topRight" activeCell="A1" sqref="A1"/>
      <selection pane="bottomLeft" activeCell="A1" sqref="A1"/>
      <selection pane="bottomRight" activeCell="L1" sqref="L1:L16384"/>
    </sheetView>
  </sheetViews>
  <sheetFormatPr defaultColWidth="9.00390625" defaultRowHeight="16.5"/>
  <cols>
    <col min="1" max="1" width="26.125" style="218" customWidth="1"/>
    <col min="2" max="7" width="10.125" style="44" customWidth="1"/>
    <col min="8" max="11" width="9.625" style="44" customWidth="1"/>
    <col min="12" max="12" width="9.875" style="44" customWidth="1"/>
    <col min="13" max="16" width="9.625" style="44" customWidth="1"/>
    <col min="17" max="23" width="9.00390625" style="44" customWidth="1"/>
    <col min="24" max="24" width="9.75390625" style="44" customWidth="1"/>
    <col min="25" max="25" width="8.75390625" style="44" customWidth="1"/>
    <col min="26" max="16384" width="9.00390625" style="44" customWidth="1"/>
  </cols>
  <sheetData>
    <row r="1" spans="1:16" s="218" customFormat="1" ht="18" customHeight="1">
      <c r="A1" s="210" t="s">
        <v>1077</v>
      </c>
      <c r="P1" s="258" t="s">
        <v>1021</v>
      </c>
    </row>
    <row r="2" spans="1:16" s="218" customFormat="1" ht="24.75" customHeight="1">
      <c r="A2" s="625" t="s">
        <v>1091</v>
      </c>
      <c r="B2" s="625"/>
      <c r="C2" s="625"/>
      <c r="D2" s="625"/>
      <c r="E2" s="625"/>
      <c r="F2" s="625"/>
      <c r="G2" s="625"/>
      <c r="H2" s="625" t="s">
        <v>1022</v>
      </c>
      <c r="I2" s="625"/>
      <c r="J2" s="625"/>
      <c r="K2" s="625"/>
      <c r="L2" s="625"/>
      <c r="M2" s="625"/>
      <c r="N2" s="625"/>
      <c r="O2" s="625"/>
      <c r="P2" s="625"/>
    </row>
    <row r="3" spans="1:16" s="218" customFormat="1" ht="15" customHeight="1" thickBot="1">
      <c r="A3" s="253"/>
      <c r="B3" s="253"/>
      <c r="C3" s="253"/>
      <c r="D3" s="253"/>
      <c r="E3" s="253"/>
      <c r="F3" s="253"/>
      <c r="G3" s="449" t="s">
        <v>1083</v>
      </c>
      <c r="H3" s="253"/>
      <c r="I3" s="253"/>
      <c r="J3" s="253"/>
      <c r="K3" s="449"/>
      <c r="L3" s="247"/>
      <c r="M3" s="253"/>
      <c r="N3" s="253"/>
      <c r="O3" s="253"/>
      <c r="P3" s="449" t="s">
        <v>1023</v>
      </c>
    </row>
    <row r="4" spans="1:16" s="218" customFormat="1" ht="18" customHeight="1">
      <c r="A4" s="660" t="s">
        <v>539</v>
      </c>
      <c r="B4" s="801" t="s">
        <v>1092</v>
      </c>
      <c r="C4" s="802"/>
      <c r="D4" s="802"/>
      <c r="E4" s="802"/>
      <c r="F4" s="803"/>
      <c r="G4" s="857" t="s">
        <v>1093</v>
      </c>
      <c r="H4" s="858"/>
      <c r="I4" s="858"/>
      <c r="J4" s="858"/>
      <c r="K4" s="982"/>
      <c r="L4" s="858" t="s">
        <v>1251</v>
      </c>
      <c r="M4" s="858"/>
      <c r="N4" s="858"/>
      <c r="O4" s="858"/>
      <c r="P4" s="982"/>
    </row>
    <row r="5" spans="1:16" s="218" customFormat="1" ht="27" customHeight="1">
      <c r="A5" s="641"/>
      <c r="B5" s="436" t="s">
        <v>1085</v>
      </c>
      <c r="C5" s="183" t="s">
        <v>1086</v>
      </c>
      <c r="D5" s="183" t="s">
        <v>1308</v>
      </c>
      <c r="E5" s="567" t="s">
        <v>1434</v>
      </c>
      <c r="F5" s="183" t="s">
        <v>1087</v>
      </c>
      <c r="G5" s="183" t="s">
        <v>1085</v>
      </c>
      <c r="H5" s="182" t="s">
        <v>1086</v>
      </c>
      <c r="I5" s="183" t="s">
        <v>1308</v>
      </c>
      <c r="J5" s="567" t="s">
        <v>1434</v>
      </c>
      <c r="K5" s="183" t="s">
        <v>1087</v>
      </c>
      <c r="L5" s="182" t="s">
        <v>1085</v>
      </c>
      <c r="M5" s="183" t="s">
        <v>1086</v>
      </c>
      <c r="N5" s="183" t="s">
        <v>1308</v>
      </c>
      <c r="O5" s="567" t="s">
        <v>1434</v>
      </c>
      <c r="P5" s="183" t="s">
        <v>1087</v>
      </c>
    </row>
    <row r="6" spans="1:16" s="309" customFormat="1" ht="39.75" customHeight="1" thickBot="1">
      <c r="A6" s="642"/>
      <c r="B6" s="465" t="s">
        <v>1024</v>
      </c>
      <c r="C6" s="172" t="s">
        <v>385</v>
      </c>
      <c r="D6" s="172" t="s">
        <v>1025</v>
      </c>
      <c r="E6" s="172" t="s">
        <v>1026</v>
      </c>
      <c r="F6" s="172" t="s">
        <v>76</v>
      </c>
      <c r="G6" s="172" t="s">
        <v>1024</v>
      </c>
      <c r="H6" s="171" t="s">
        <v>385</v>
      </c>
      <c r="I6" s="172" t="s">
        <v>1025</v>
      </c>
      <c r="J6" s="172" t="s">
        <v>1026</v>
      </c>
      <c r="K6" s="172" t="s">
        <v>76</v>
      </c>
      <c r="L6" s="171" t="s">
        <v>1024</v>
      </c>
      <c r="M6" s="172" t="s">
        <v>385</v>
      </c>
      <c r="N6" s="172" t="s">
        <v>1025</v>
      </c>
      <c r="O6" s="172" t="s">
        <v>1026</v>
      </c>
      <c r="P6" s="172" t="s">
        <v>76</v>
      </c>
    </row>
    <row r="7" spans="1:16" ht="33" customHeight="1">
      <c r="A7" s="468" t="s">
        <v>540</v>
      </c>
      <c r="B7" s="513">
        <v>23.14</v>
      </c>
      <c r="C7" s="513">
        <v>2</v>
      </c>
      <c r="D7" s="513">
        <v>0</v>
      </c>
      <c r="E7" s="513">
        <v>12</v>
      </c>
      <c r="F7" s="513">
        <v>13</v>
      </c>
      <c r="G7" s="513">
        <v>23.79</v>
      </c>
      <c r="H7" s="513">
        <v>1</v>
      </c>
      <c r="I7" s="513">
        <v>0</v>
      </c>
      <c r="J7" s="513">
        <v>0</v>
      </c>
      <c r="K7" s="513">
        <v>11.1</v>
      </c>
      <c r="L7" s="513">
        <v>18.57</v>
      </c>
      <c r="M7" s="513">
        <v>0</v>
      </c>
      <c r="N7" s="513">
        <v>0</v>
      </c>
      <c r="O7" s="513">
        <v>0</v>
      </c>
      <c r="P7" s="513">
        <v>6.5</v>
      </c>
    </row>
    <row r="8" spans="1:16" ht="33" customHeight="1">
      <c r="A8" s="468" t="s">
        <v>541</v>
      </c>
      <c r="B8" s="513">
        <v>29.11</v>
      </c>
      <c r="C8" s="513">
        <v>2</v>
      </c>
      <c r="D8" s="513">
        <v>0</v>
      </c>
      <c r="E8" s="513">
        <v>17</v>
      </c>
      <c r="F8" s="513">
        <v>23.1</v>
      </c>
      <c r="G8" s="513">
        <v>25.99</v>
      </c>
      <c r="H8" s="513">
        <v>1</v>
      </c>
      <c r="I8" s="513">
        <v>0</v>
      </c>
      <c r="J8" s="513">
        <v>0</v>
      </c>
      <c r="K8" s="513">
        <v>9.6</v>
      </c>
      <c r="L8" s="513">
        <v>16.61</v>
      </c>
      <c r="M8" s="513">
        <v>0</v>
      </c>
      <c r="N8" s="513">
        <v>0</v>
      </c>
      <c r="O8" s="513">
        <v>0</v>
      </c>
      <c r="P8" s="513">
        <v>5.5</v>
      </c>
    </row>
    <row r="9" spans="1:16" ht="33" customHeight="1">
      <c r="A9" s="468" t="s">
        <v>542</v>
      </c>
      <c r="B9" s="513">
        <v>24.99</v>
      </c>
      <c r="C9" s="513">
        <v>8</v>
      </c>
      <c r="D9" s="513">
        <v>0</v>
      </c>
      <c r="E9" s="513">
        <v>0</v>
      </c>
      <c r="F9" s="513">
        <v>24.8</v>
      </c>
      <c r="G9" s="513">
        <v>26.57</v>
      </c>
      <c r="H9" s="513">
        <v>3</v>
      </c>
      <c r="I9" s="513">
        <v>0</v>
      </c>
      <c r="J9" s="513">
        <v>0</v>
      </c>
      <c r="K9" s="513">
        <v>18</v>
      </c>
      <c r="L9" s="513">
        <v>22.98</v>
      </c>
      <c r="M9" s="513">
        <v>0</v>
      </c>
      <c r="N9" s="513">
        <v>0</v>
      </c>
      <c r="O9" s="513">
        <v>0</v>
      </c>
      <c r="P9" s="513">
        <v>9.2</v>
      </c>
    </row>
    <row r="10" spans="1:16" ht="33" customHeight="1">
      <c r="A10" s="468" t="s">
        <v>543</v>
      </c>
      <c r="B10" s="513">
        <v>34.47</v>
      </c>
      <c r="C10" s="513">
        <v>15</v>
      </c>
      <c r="D10" s="513">
        <v>4</v>
      </c>
      <c r="E10" s="513">
        <v>0</v>
      </c>
      <c r="F10" s="513">
        <v>39</v>
      </c>
      <c r="G10" s="513">
        <v>29.04</v>
      </c>
      <c r="H10" s="513">
        <v>12</v>
      </c>
      <c r="I10" s="513">
        <v>1</v>
      </c>
      <c r="J10" s="513">
        <v>0</v>
      </c>
      <c r="K10" s="513">
        <v>31.8</v>
      </c>
      <c r="L10" s="513">
        <v>25.54</v>
      </c>
      <c r="M10" s="513">
        <v>5</v>
      </c>
      <c r="N10" s="513">
        <v>1</v>
      </c>
      <c r="O10" s="513">
        <v>0</v>
      </c>
      <c r="P10" s="513">
        <v>23.63</v>
      </c>
    </row>
    <row r="11" spans="1:16" ht="33" customHeight="1">
      <c r="A11" s="468" t="s">
        <v>544</v>
      </c>
      <c r="B11" s="513">
        <v>31.56</v>
      </c>
      <c r="C11" s="513">
        <v>10.7</v>
      </c>
      <c r="D11" s="513">
        <v>1.75</v>
      </c>
      <c r="E11" s="513">
        <v>0</v>
      </c>
      <c r="F11" s="513">
        <v>37.89</v>
      </c>
      <c r="G11" s="513">
        <v>27.89</v>
      </c>
      <c r="H11" s="513">
        <v>12.4</v>
      </c>
      <c r="I11" s="513">
        <v>2.3</v>
      </c>
      <c r="J11" s="513">
        <v>0</v>
      </c>
      <c r="K11" s="513">
        <v>14.14</v>
      </c>
      <c r="L11" s="513">
        <v>26.63</v>
      </c>
      <c r="M11" s="513">
        <v>2.2</v>
      </c>
      <c r="N11" s="513">
        <v>1</v>
      </c>
      <c r="O11" s="513">
        <v>1</v>
      </c>
      <c r="P11" s="513">
        <v>12.39</v>
      </c>
    </row>
    <row r="12" spans="1:16" ht="33" customHeight="1">
      <c r="A12" s="468" t="s">
        <v>545</v>
      </c>
      <c r="B12" s="513">
        <v>30.67</v>
      </c>
      <c r="C12" s="513">
        <v>4.9</v>
      </c>
      <c r="D12" s="513">
        <v>6.54</v>
      </c>
      <c r="E12" s="513">
        <v>0</v>
      </c>
      <c r="F12" s="513">
        <v>41.85</v>
      </c>
      <c r="G12" s="513">
        <v>36.71</v>
      </c>
      <c r="H12" s="513">
        <v>18.95</v>
      </c>
      <c r="I12" s="513">
        <v>6.24</v>
      </c>
      <c r="J12" s="513">
        <v>0</v>
      </c>
      <c r="K12" s="513">
        <v>22.85</v>
      </c>
      <c r="L12" s="513">
        <v>32.11</v>
      </c>
      <c r="M12" s="513">
        <v>3.11</v>
      </c>
      <c r="N12" s="513">
        <v>4.44</v>
      </c>
      <c r="O12" s="513">
        <v>0</v>
      </c>
      <c r="P12" s="513">
        <v>12.45</v>
      </c>
    </row>
    <row r="13" spans="1:16" s="79" customFormat="1" ht="33" customHeight="1">
      <c r="A13" s="468" t="s">
        <v>546</v>
      </c>
      <c r="B13" s="513">
        <v>37.68</v>
      </c>
      <c r="C13" s="513">
        <v>7.05</v>
      </c>
      <c r="D13" s="513">
        <v>4.6</v>
      </c>
      <c r="E13" s="513">
        <v>4</v>
      </c>
      <c r="F13" s="513">
        <v>34.44</v>
      </c>
      <c r="G13" s="513">
        <v>39.87</v>
      </c>
      <c r="H13" s="513">
        <v>15.01</v>
      </c>
      <c r="I13" s="513">
        <v>8.64</v>
      </c>
      <c r="J13" s="513">
        <v>0</v>
      </c>
      <c r="K13" s="513">
        <v>25.74</v>
      </c>
      <c r="L13" s="513">
        <v>36.81</v>
      </c>
      <c r="M13" s="513">
        <v>0.4</v>
      </c>
      <c r="N13" s="513">
        <v>3</v>
      </c>
      <c r="O13" s="513">
        <v>0</v>
      </c>
      <c r="P13" s="513">
        <v>16.64</v>
      </c>
    </row>
    <row r="14" spans="1:16" ht="33" customHeight="1">
      <c r="A14" s="468" t="s">
        <v>547</v>
      </c>
      <c r="B14" s="513">
        <v>55.5</v>
      </c>
      <c r="C14" s="513">
        <v>29</v>
      </c>
      <c r="D14" s="513">
        <v>10</v>
      </c>
      <c r="E14" s="513">
        <v>74</v>
      </c>
      <c r="F14" s="513">
        <v>120.08</v>
      </c>
      <c r="G14" s="513">
        <v>90.17</v>
      </c>
      <c r="H14" s="513">
        <v>55</v>
      </c>
      <c r="I14" s="513">
        <v>10</v>
      </c>
      <c r="J14" s="513">
        <v>593</v>
      </c>
      <c r="K14" s="513">
        <v>31.08</v>
      </c>
      <c r="L14" s="513">
        <v>31.16</v>
      </c>
      <c r="M14" s="513">
        <v>3</v>
      </c>
      <c r="N14" s="513">
        <v>4</v>
      </c>
      <c r="O14" s="513">
        <v>0</v>
      </c>
      <c r="P14" s="513">
        <v>20.23</v>
      </c>
    </row>
    <row r="15" spans="1:16" ht="33" customHeight="1">
      <c r="A15" s="468" t="s">
        <v>1020</v>
      </c>
      <c r="B15" s="513">
        <v>58.019999999999996</v>
      </c>
      <c r="C15" s="513">
        <v>64.1</v>
      </c>
      <c r="D15" s="513">
        <v>12</v>
      </c>
      <c r="E15" s="513">
        <v>672</v>
      </c>
      <c r="F15" s="513">
        <v>108.44</v>
      </c>
      <c r="G15" s="513">
        <v>82.85</v>
      </c>
      <c r="H15" s="513">
        <v>74.1</v>
      </c>
      <c r="I15" s="513">
        <v>11</v>
      </c>
      <c r="J15" s="513">
        <v>612</v>
      </c>
      <c r="K15" s="513">
        <v>32.18</v>
      </c>
      <c r="L15" s="513">
        <v>36.6</v>
      </c>
      <c r="M15" s="513">
        <v>3.1</v>
      </c>
      <c r="N15" s="513">
        <v>5</v>
      </c>
      <c r="O15" s="513">
        <v>0</v>
      </c>
      <c r="P15" s="513">
        <v>24.020000000000003</v>
      </c>
    </row>
    <row r="16" spans="1:16" ht="33" customHeight="1">
      <c r="A16" s="468" t="s">
        <v>1209</v>
      </c>
      <c r="B16" s="513">
        <f>B17+B25+B28</f>
        <v>71.86</v>
      </c>
      <c r="C16" s="513">
        <f aca="true" t="shared" si="0" ref="C16:K16">C17+C25+C28</f>
        <v>57</v>
      </c>
      <c r="D16" s="513">
        <f t="shared" si="0"/>
        <v>17</v>
      </c>
      <c r="E16" s="513">
        <f t="shared" si="0"/>
        <v>845</v>
      </c>
      <c r="F16" s="513">
        <f t="shared" si="0"/>
        <v>60.129999999999995</v>
      </c>
      <c r="G16" s="513">
        <f t="shared" si="0"/>
        <v>53.980000000000004</v>
      </c>
      <c r="H16" s="513">
        <f t="shared" si="0"/>
        <v>121</v>
      </c>
      <c r="I16" s="513">
        <f t="shared" si="0"/>
        <v>22</v>
      </c>
      <c r="J16" s="513">
        <f t="shared" si="0"/>
        <v>829</v>
      </c>
      <c r="K16" s="513">
        <f t="shared" si="0"/>
        <v>34.93</v>
      </c>
      <c r="L16" s="513">
        <f>L17+L25+L28</f>
        <v>33.23</v>
      </c>
      <c r="M16" s="513">
        <f>M17+M25+M28</f>
        <v>1</v>
      </c>
      <c r="N16" s="513">
        <f>N17+N25+N28</f>
        <v>3</v>
      </c>
      <c r="O16" s="513">
        <f>O17+O25+O28</f>
        <v>0</v>
      </c>
      <c r="P16" s="513">
        <f>P17+P25+P28</f>
        <v>29.33</v>
      </c>
    </row>
    <row r="17" spans="1:16" ht="33" customHeight="1">
      <c r="A17" s="468" t="s">
        <v>552</v>
      </c>
      <c r="B17" s="508">
        <f>SUM(B18:B23)</f>
        <v>39.86</v>
      </c>
      <c r="C17" s="508">
        <f aca="true" t="shared" si="1" ref="C17:P17">SUM(C18:C23)</f>
        <v>5</v>
      </c>
      <c r="D17" s="508">
        <f t="shared" si="1"/>
        <v>13</v>
      </c>
      <c r="E17" s="508">
        <f t="shared" si="1"/>
        <v>0</v>
      </c>
      <c r="F17" s="508">
        <f t="shared" si="1"/>
        <v>37.129999999999995</v>
      </c>
      <c r="G17" s="508">
        <f t="shared" si="1"/>
        <v>36.980000000000004</v>
      </c>
      <c r="H17" s="508">
        <f t="shared" si="1"/>
        <v>17</v>
      </c>
      <c r="I17" s="508">
        <f t="shared" si="1"/>
        <v>15</v>
      </c>
      <c r="J17" s="508">
        <f t="shared" si="1"/>
        <v>0</v>
      </c>
      <c r="K17" s="508">
        <f>SUM(K18:K21)</f>
        <v>30.93</v>
      </c>
      <c r="L17" s="508">
        <f t="shared" si="1"/>
        <v>33.23</v>
      </c>
      <c r="M17" s="508">
        <f t="shared" si="1"/>
        <v>1</v>
      </c>
      <c r="N17" s="508">
        <f t="shared" si="1"/>
        <v>3</v>
      </c>
      <c r="O17" s="508">
        <f t="shared" si="1"/>
        <v>0</v>
      </c>
      <c r="P17" s="508">
        <f t="shared" si="1"/>
        <v>29.33</v>
      </c>
    </row>
    <row r="18" spans="1:16" ht="11.25" customHeight="1">
      <c r="A18" s="470" t="s">
        <v>1027</v>
      </c>
      <c r="B18" s="508"/>
      <c r="C18" s="508"/>
      <c r="D18" s="508"/>
      <c r="E18" s="508"/>
      <c r="F18" s="508"/>
      <c r="G18" s="508"/>
      <c r="H18" s="508"/>
      <c r="I18" s="508"/>
      <c r="J18" s="508"/>
      <c r="K18" s="508"/>
      <c r="L18" s="508"/>
      <c r="M18" s="508"/>
      <c r="N18" s="508"/>
      <c r="O18" s="508"/>
      <c r="P18" s="508"/>
    </row>
    <row r="19" spans="1:16" ht="33" customHeight="1">
      <c r="A19" s="468" t="s">
        <v>549</v>
      </c>
      <c r="B19" s="508">
        <v>21</v>
      </c>
      <c r="C19" s="508">
        <v>5</v>
      </c>
      <c r="D19" s="508">
        <v>13</v>
      </c>
      <c r="E19" s="508">
        <v>0</v>
      </c>
      <c r="F19" s="508">
        <v>14</v>
      </c>
      <c r="G19" s="508">
        <v>14</v>
      </c>
      <c r="H19" s="508">
        <v>17</v>
      </c>
      <c r="I19" s="508">
        <v>15</v>
      </c>
      <c r="J19" s="508">
        <v>0</v>
      </c>
      <c r="K19" s="508">
        <v>9</v>
      </c>
      <c r="L19" s="508">
        <v>2.9</v>
      </c>
      <c r="M19" s="508">
        <v>1</v>
      </c>
      <c r="N19" s="508">
        <v>3</v>
      </c>
      <c r="O19" s="508">
        <v>0</v>
      </c>
      <c r="P19" s="508">
        <v>1</v>
      </c>
    </row>
    <row r="20" spans="1:16" ht="11.25" customHeight="1">
      <c r="A20" s="470" t="s">
        <v>1028</v>
      </c>
      <c r="B20" s="508"/>
      <c r="C20" s="508"/>
      <c r="D20" s="508"/>
      <c r="E20" s="508"/>
      <c r="F20" s="508"/>
      <c r="G20" s="508"/>
      <c r="H20" s="508"/>
      <c r="I20" s="508"/>
      <c r="J20" s="508"/>
      <c r="K20" s="508"/>
      <c r="L20" s="508"/>
      <c r="M20" s="508"/>
      <c r="N20" s="508"/>
      <c r="O20" s="508"/>
      <c r="P20" s="508"/>
    </row>
    <row r="21" spans="1:16" ht="33" customHeight="1">
      <c r="A21" s="468" t="s">
        <v>550</v>
      </c>
      <c r="B21" s="508">
        <v>18.86</v>
      </c>
      <c r="C21" s="508">
        <v>0</v>
      </c>
      <c r="D21" s="508">
        <v>0</v>
      </c>
      <c r="E21" s="508">
        <v>0</v>
      </c>
      <c r="F21" s="508">
        <v>23.13</v>
      </c>
      <c r="G21" s="508">
        <v>22.98</v>
      </c>
      <c r="H21" s="508">
        <v>0</v>
      </c>
      <c r="I21" s="508">
        <v>0</v>
      </c>
      <c r="J21" s="508">
        <v>0</v>
      </c>
      <c r="K21" s="508">
        <v>21.93</v>
      </c>
      <c r="L21" s="508">
        <v>30.33</v>
      </c>
      <c r="M21" s="508">
        <v>0</v>
      </c>
      <c r="N21" s="508">
        <v>0</v>
      </c>
      <c r="O21" s="508">
        <v>0</v>
      </c>
      <c r="P21" s="508">
        <v>28.33</v>
      </c>
    </row>
    <row r="22" spans="1:16" ht="11.25" customHeight="1">
      <c r="A22" s="470" t="s">
        <v>1029</v>
      </c>
      <c r="B22" s="508"/>
      <c r="C22" s="508"/>
      <c r="D22" s="508"/>
      <c r="E22" s="508"/>
      <c r="F22" s="508"/>
      <c r="G22" s="508"/>
      <c r="H22" s="508"/>
      <c r="I22" s="508"/>
      <c r="J22" s="508"/>
      <c r="K22" s="508"/>
      <c r="L22" s="508"/>
      <c r="M22" s="508"/>
      <c r="N22" s="508"/>
      <c r="O22" s="508"/>
      <c r="P22" s="508"/>
    </row>
    <row r="23" spans="1:16" ht="33" customHeight="1">
      <c r="A23" s="468" t="s">
        <v>1252</v>
      </c>
      <c r="B23" s="508">
        <v>0</v>
      </c>
      <c r="C23" s="508">
        <v>0</v>
      </c>
      <c r="D23" s="508">
        <v>0</v>
      </c>
      <c r="E23" s="508">
        <v>0</v>
      </c>
      <c r="F23" s="508">
        <v>0</v>
      </c>
      <c r="G23" s="508">
        <v>0</v>
      </c>
      <c r="H23" s="508">
        <v>0</v>
      </c>
      <c r="I23" s="508">
        <v>0</v>
      </c>
      <c r="J23" s="508">
        <v>0</v>
      </c>
      <c r="K23" s="508">
        <v>0</v>
      </c>
      <c r="L23" s="508">
        <v>0</v>
      </c>
      <c r="M23" s="508">
        <v>0</v>
      </c>
      <c r="N23" s="508">
        <v>0</v>
      </c>
      <c r="O23" s="508">
        <v>0</v>
      </c>
      <c r="P23" s="508">
        <v>0</v>
      </c>
    </row>
    <row r="24" spans="1:16" ht="11.25" customHeight="1">
      <c r="A24" s="470" t="s">
        <v>1030</v>
      </c>
      <c r="B24" s="508"/>
      <c r="C24" s="508"/>
      <c r="D24" s="508"/>
      <c r="E24" s="508"/>
      <c r="F24" s="508"/>
      <c r="G24" s="508"/>
      <c r="H24" s="508"/>
      <c r="I24" s="508"/>
      <c r="J24" s="508"/>
      <c r="K24" s="505"/>
      <c r="L24" s="508"/>
      <c r="M24" s="508"/>
      <c r="N24" s="508"/>
      <c r="O24" s="508"/>
      <c r="P24" s="508"/>
    </row>
    <row r="25" spans="1:16" ht="33" customHeight="1">
      <c r="A25" s="468" t="s">
        <v>551</v>
      </c>
      <c r="B25" s="508">
        <v>4</v>
      </c>
      <c r="C25" s="508">
        <v>1</v>
      </c>
      <c r="D25" s="508">
        <v>1</v>
      </c>
      <c r="E25" s="508">
        <v>60</v>
      </c>
      <c r="F25" s="508">
        <v>2</v>
      </c>
      <c r="G25" s="508">
        <v>2</v>
      </c>
      <c r="H25" s="508">
        <v>1</v>
      </c>
      <c r="I25" s="508">
        <v>0</v>
      </c>
      <c r="J25" s="508">
        <v>4</v>
      </c>
      <c r="K25" s="508">
        <v>4</v>
      </c>
      <c r="L25" s="508">
        <v>0</v>
      </c>
      <c r="M25" s="508">
        <v>0</v>
      </c>
      <c r="N25" s="508">
        <v>0</v>
      </c>
      <c r="O25" s="508">
        <v>0</v>
      </c>
      <c r="P25" s="508">
        <v>0</v>
      </c>
    </row>
    <row r="26" spans="1:16" ht="11.25" customHeight="1">
      <c r="A26" s="470" t="s">
        <v>1031</v>
      </c>
      <c r="B26" s="508"/>
      <c r="C26" s="508"/>
      <c r="D26" s="508"/>
      <c r="E26" s="508"/>
      <c r="F26" s="508"/>
      <c r="G26" s="508"/>
      <c r="H26" s="508"/>
      <c r="I26" s="508"/>
      <c r="J26" s="508"/>
      <c r="K26" s="508"/>
      <c r="L26" s="508"/>
      <c r="M26" s="508"/>
      <c r="N26" s="508"/>
      <c r="O26" s="508"/>
      <c r="P26" s="508"/>
    </row>
    <row r="27" spans="1:16" ht="11.25" customHeight="1">
      <c r="A27" s="470" t="s">
        <v>1032</v>
      </c>
      <c r="B27" s="508"/>
      <c r="C27" s="508"/>
      <c r="D27" s="508"/>
      <c r="E27" s="508"/>
      <c r="F27" s="508"/>
      <c r="G27" s="508"/>
      <c r="H27" s="508"/>
      <c r="I27" s="508"/>
      <c r="J27" s="508"/>
      <c r="K27" s="508"/>
      <c r="L27" s="508"/>
      <c r="M27" s="508"/>
      <c r="N27" s="508"/>
      <c r="O27" s="508"/>
      <c r="P27" s="508"/>
    </row>
    <row r="28" spans="1:16" ht="33" customHeight="1">
      <c r="A28" s="468" t="s">
        <v>1253</v>
      </c>
      <c r="B28" s="508">
        <v>28</v>
      </c>
      <c r="C28" s="508">
        <v>51</v>
      </c>
      <c r="D28" s="508">
        <v>3</v>
      </c>
      <c r="E28" s="508">
        <v>785</v>
      </c>
      <c r="F28" s="508">
        <v>21</v>
      </c>
      <c r="G28" s="508">
        <v>15</v>
      </c>
      <c r="H28" s="508">
        <v>103</v>
      </c>
      <c r="I28" s="508">
        <v>7</v>
      </c>
      <c r="J28" s="508">
        <v>825</v>
      </c>
      <c r="K28" s="508">
        <v>0</v>
      </c>
      <c r="L28" s="508">
        <v>0</v>
      </c>
      <c r="M28" s="508">
        <v>0</v>
      </c>
      <c r="N28" s="508">
        <v>0</v>
      </c>
      <c r="O28" s="508">
        <v>0</v>
      </c>
      <c r="P28" s="508">
        <v>0</v>
      </c>
    </row>
    <row r="29" spans="1:16" ht="11.25" customHeight="1">
      <c r="A29" s="468" t="s">
        <v>1246</v>
      </c>
      <c r="B29" s="145"/>
      <c r="C29" s="145"/>
      <c r="D29" s="145"/>
      <c r="E29" s="145"/>
      <c r="F29" s="145"/>
      <c r="G29" s="145"/>
      <c r="H29" s="145"/>
      <c r="I29" s="145"/>
      <c r="J29" s="145"/>
      <c r="K29" s="145"/>
      <c r="L29" s="145"/>
      <c r="M29" s="145"/>
      <c r="N29" s="145"/>
      <c r="O29" s="145"/>
      <c r="P29" s="144"/>
    </row>
    <row r="30" spans="1:16" s="218" customFormat="1" ht="13.5" customHeight="1" thickBot="1">
      <c r="A30" s="471" t="s">
        <v>1210</v>
      </c>
      <c r="B30" s="477"/>
      <c r="C30" s="473"/>
      <c r="D30" s="473"/>
      <c r="E30" s="473"/>
      <c r="F30" s="473"/>
      <c r="G30" s="473"/>
      <c r="H30" s="478"/>
      <c r="I30" s="473"/>
      <c r="J30" s="473"/>
      <c r="K30" s="473"/>
      <c r="L30" s="307"/>
      <c r="M30" s="473"/>
      <c r="N30" s="307"/>
      <c r="O30" s="307"/>
      <c r="P30" s="473"/>
    </row>
    <row r="31" spans="1:11" s="218" customFormat="1" ht="13.5" customHeight="1">
      <c r="A31" s="175"/>
      <c r="B31" s="175"/>
      <c r="C31" s="175"/>
      <c r="D31" s="175"/>
      <c r="E31" s="175"/>
      <c r="F31" s="175"/>
      <c r="G31" s="175"/>
      <c r="H31" s="184"/>
      <c r="I31" s="175"/>
      <c r="J31" s="175"/>
      <c r="K31" s="175"/>
    </row>
    <row r="32" spans="1:8" s="218" customFormat="1" ht="13.5" customHeight="1">
      <c r="A32" s="175"/>
      <c r="H32" s="184"/>
    </row>
    <row r="33" spans="1:8" s="218" customFormat="1" ht="13.5" customHeight="1">
      <c r="A33" s="175"/>
      <c r="H33" s="184"/>
    </row>
    <row r="34" spans="1:8" s="218" customFormat="1" ht="13.5" customHeight="1">
      <c r="A34" s="175"/>
      <c r="H34" s="184"/>
    </row>
    <row r="35" spans="8:16" s="218" customFormat="1" ht="25.5" customHeight="1">
      <c r="H35" s="979"/>
      <c r="I35" s="979"/>
      <c r="J35" s="979"/>
      <c r="K35" s="979"/>
      <c r="L35" s="979"/>
      <c r="M35" s="979"/>
      <c r="N35" s="979"/>
      <c r="O35" s="979"/>
      <c r="P35" s="979"/>
    </row>
    <row r="36" s="218" customFormat="1" ht="12.75">
      <c r="H36" s="184"/>
    </row>
    <row r="37" s="218" customFormat="1" ht="12.75"/>
    <row r="38" s="218" customFormat="1" ht="12.75"/>
    <row r="39" s="218" customFormat="1" ht="12.75"/>
    <row r="40" s="218" customFormat="1" ht="12.75"/>
    <row r="41" s="218" customFormat="1" ht="12.75"/>
  </sheetData>
  <sheetProtection/>
  <mergeCells count="7">
    <mergeCell ref="A4:A6"/>
    <mergeCell ref="B4:F4"/>
    <mergeCell ref="G4:K4"/>
    <mergeCell ref="L4:P4"/>
    <mergeCell ref="H35:P35"/>
    <mergeCell ref="A2:G2"/>
    <mergeCell ref="H2:P2"/>
  </mergeCells>
  <printOptions horizontalCentered="1"/>
  <pageMargins left="0.7086614173228346" right="0.7086614173228346" top="0.7480314960629921" bottom="0.7480314960629921" header="0.31496062992125984" footer="0.31496062992125984"/>
  <pageSetup firstPageNumber="352" useFirstPageNumber="1" horizontalDpi="600" verticalDpi="600" orientation="portrait" paperSize="9" r:id="rId1"/>
  <colBreaks count="1" manualBreakCount="1">
    <brk id="7" max="65535" man="1"/>
  </colBreaks>
  <ignoredErrors>
    <ignoredError sqref="K17" formula="1"/>
  </ignoredErrors>
</worksheet>
</file>

<file path=xl/worksheets/sheet3.xml><?xml version="1.0" encoding="utf-8"?>
<worksheet xmlns="http://schemas.openxmlformats.org/spreadsheetml/2006/main" xmlns:r="http://schemas.openxmlformats.org/officeDocument/2006/relationships">
  <dimension ref="A1:H21"/>
  <sheetViews>
    <sheetView showGridLines="0" view="pageBreakPreview" zoomScale="55" zoomScaleNormal="85" zoomScaleSheetLayoutView="55"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A3" sqref="A3:D3"/>
    </sheetView>
  </sheetViews>
  <sheetFormatPr defaultColWidth="9.00390625" defaultRowHeight="16.5"/>
  <cols>
    <col min="1" max="2" width="12.625" style="323" customWidth="1"/>
    <col min="3" max="4" width="30.625" style="115" customWidth="1"/>
    <col min="5" max="16384" width="9.00390625" style="115" customWidth="1"/>
  </cols>
  <sheetData>
    <row r="1" spans="3:4" s="323" customFormat="1" ht="18" customHeight="1">
      <c r="C1" s="334"/>
      <c r="D1" s="351" t="s">
        <v>49</v>
      </c>
    </row>
    <row r="2" spans="1:8" s="323" customFormat="1" ht="24.75" customHeight="1">
      <c r="A2" s="586" t="s">
        <v>1177</v>
      </c>
      <c r="B2" s="586"/>
      <c r="C2" s="586"/>
      <c r="D2" s="586"/>
      <c r="E2" s="352"/>
      <c r="F2" s="352"/>
      <c r="G2" s="352"/>
      <c r="H2" s="352"/>
    </row>
    <row r="3" spans="1:4" s="323" customFormat="1" ht="19.5" customHeight="1">
      <c r="A3" s="586" t="s">
        <v>50</v>
      </c>
      <c r="B3" s="586"/>
      <c r="C3" s="586"/>
      <c r="D3" s="586"/>
    </row>
    <row r="4" spans="2:4" s="323" customFormat="1" ht="13.5" customHeight="1">
      <c r="B4" s="325"/>
      <c r="C4" s="325"/>
      <c r="D4" s="353" t="s">
        <v>1176</v>
      </c>
    </row>
    <row r="5" spans="2:4" s="323" customFormat="1" ht="13.5" customHeight="1" thickBot="1">
      <c r="B5" s="325"/>
      <c r="C5" s="325"/>
      <c r="D5" s="338" t="s">
        <v>51</v>
      </c>
    </row>
    <row r="6" spans="1:4" s="323" customFormat="1" ht="18" customHeight="1">
      <c r="A6" s="587" t="s">
        <v>458</v>
      </c>
      <c r="B6" s="588"/>
      <c r="C6" s="591" t="s">
        <v>1178</v>
      </c>
      <c r="D6" s="592"/>
    </row>
    <row r="7" spans="1:4" s="323" customFormat="1" ht="18" customHeight="1">
      <c r="A7" s="589"/>
      <c r="B7" s="590"/>
      <c r="C7" s="593" t="s">
        <v>52</v>
      </c>
      <c r="D7" s="594"/>
    </row>
    <row r="8" spans="1:4" s="323" customFormat="1" ht="18" customHeight="1">
      <c r="A8" s="595" t="s">
        <v>53</v>
      </c>
      <c r="B8" s="596"/>
      <c r="C8" s="340" t="s">
        <v>831</v>
      </c>
      <c r="D8" s="340" t="s">
        <v>832</v>
      </c>
    </row>
    <row r="9" spans="1:4" s="323" customFormat="1" ht="18" customHeight="1" thickBot="1">
      <c r="A9" s="597"/>
      <c r="B9" s="598"/>
      <c r="C9" s="345" t="s">
        <v>54</v>
      </c>
      <c r="D9" s="345" t="s">
        <v>55</v>
      </c>
    </row>
    <row r="10" spans="1:4" ht="57.75" customHeight="1">
      <c r="A10" s="348" t="s">
        <v>824</v>
      </c>
      <c r="B10" s="327" t="s">
        <v>28</v>
      </c>
      <c r="C10" s="118">
        <v>1</v>
      </c>
      <c r="D10" s="108">
        <v>0</v>
      </c>
    </row>
    <row r="11" spans="1:4" ht="57.75" customHeight="1">
      <c r="A11" s="348" t="s">
        <v>833</v>
      </c>
      <c r="B11" s="328" t="s">
        <v>56</v>
      </c>
      <c r="C11" s="118">
        <v>1</v>
      </c>
      <c r="D11" s="108">
        <v>0</v>
      </c>
    </row>
    <row r="12" spans="1:4" ht="57.75" customHeight="1">
      <c r="A12" s="348" t="s">
        <v>826</v>
      </c>
      <c r="B12" s="329" t="s">
        <v>57</v>
      </c>
      <c r="C12" s="118">
        <v>1</v>
      </c>
      <c r="D12" s="108">
        <v>0</v>
      </c>
    </row>
    <row r="13" spans="1:4" ht="57.75" customHeight="1">
      <c r="A13" s="348" t="s">
        <v>834</v>
      </c>
      <c r="B13" s="327" t="s">
        <v>31</v>
      </c>
      <c r="C13" s="118">
        <v>1</v>
      </c>
      <c r="D13" s="108">
        <v>0</v>
      </c>
    </row>
    <row r="14" spans="1:4" ht="57.75" customHeight="1">
      <c r="A14" s="348" t="s">
        <v>828</v>
      </c>
      <c r="B14" s="327" t="s">
        <v>58</v>
      </c>
      <c r="C14" s="118" t="s">
        <v>35</v>
      </c>
      <c r="D14" s="108">
        <v>0</v>
      </c>
    </row>
    <row r="15" spans="1:4" ht="57.75" customHeight="1">
      <c r="A15" s="348" t="s">
        <v>829</v>
      </c>
      <c r="B15" s="327" t="s">
        <v>60</v>
      </c>
      <c r="C15" s="118" t="s">
        <v>35</v>
      </c>
      <c r="D15" s="108">
        <v>0</v>
      </c>
    </row>
    <row r="16" spans="1:4" ht="57.75" customHeight="1">
      <c r="A16" s="349" t="s">
        <v>830</v>
      </c>
      <c r="B16" s="327" t="s">
        <v>61</v>
      </c>
      <c r="C16" s="118">
        <v>1</v>
      </c>
      <c r="D16" s="108" t="s">
        <v>59</v>
      </c>
    </row>
    <row r="17" spans="1:4" ht="57.75" customHeight="1">
      <c r="A17" s="349" t="s">
        <v>861</v>
      </c>
      <c r="B17" s="327" t="s">
        <v>62</v>
      </c>
      <c r="C17" s="118">
        <v>1</v>
      </c>
      <c r="D17" s="108" t="s">
        <v>59</v>
      </c>
    </row>
    <row r="18" spans="1:4" ht="57.75" customHeight="1">
      <c r="A18" s="349" t="s">
        <v>859</v>
      </c>
      <c r="B18" s="327" t="s">
        <v>860</v>
      </c>
      <c r="C18" s="125">
        <v>1</v>
      </c>
      <c r="D18" s="108">
        <v>0</v>
      </c>
    </row>
    <row r="19" spans="1:4" ht="57.75" customHeight="1" thickBot="1">
      <c r="A19" s="527" t="s">
        <v>1389</v>
      </c>
      <c r="B19" s="331" t="s">
        <v>1197</v>
      </c>
      <c r="C19" s="404">
        <v>1</v>
      </c>
      <c r="D19" s="110">
        <v>0</v>
      </c>
    </row>
    <row r="20" spans="1:4" s="333" customFormat="1" ht="15" customHeight="1">
      <c r="A20" s="332" t="s">
        <v>1179</v>
      </c>
      <c r="C20" s="350"/>
      <c r="D20" s="350"/>
    </row>
    <row r="21" s="323" customFormat="1" ht="15" customHeight="1">
      <c r="A21" s="350" t="s">
        <v>63</v>
      </c>
    </row>
    <row r="22" s="323" customFormat="1" ht="12.75"/>
    <row r="23" s="323" customFormat="1" ht="12.75"/>
    <row r="24" s="323" customFormat="1" ht="12.75"/>
    <row r="25" s="323" customFormat="1" ht="12.75"/>
    <row r="26" s="323" customFormat="1" ht="12.75"/>
    <row r="27" s="323" customFormat="1" ht="12.75"/>
  </sheetData>
  <sheetProtection/>
  <mergeCells count="6">
    <mergeCell ref="A2:D2"/>
    <mergeCell ref="A3:D3"/>
    <mergeCell ref="A6:B7"/>
    <mergeCell ref="C6:D6"/>
    <mergeCell ref="C7:D7"/>
    <mergeCell ref="A8:B9"/>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P31"/>
  <sheetViews>
    <sheetView showGridLines="0" view="pageBreakPreview" zoomScale="85" zoomScaleSheetLayoutView="85" workbookViewId="0" topLeftCell="A1">
      <pane xSplit="1" ySplit="6" topLeftCell="B7" activePane="bottomRight" state="frozen"/>
      <selection pane="topLeft" activeCell="A1" sqref="A1"/>
      <selection pane="topRight" activeCell="A1" sqref="A1"/>
      <selection pane="bottomLeft" activeCell="A1" sqref="A1"/>
      <selection pane="bottomRight" activeCell="O5" activeCellId="2" sqref="E5 J5 O5"/>
    </sheetView>
  </sheetViews>
  <sheetFormatPr defaultColWidth="9.00390625" defaultRowHeight="16.5"/>
  <cols>
    <col min="1" max="1" width="25.875" style="218" customWidth="1"/>
    <col min="2" max="2" width="10.125" style="44" customWidth="1"/>
    <col min="3" max="6" width="10.50390625" style="44" customWidth="1"/>
    <col min="7" max="7" width="10.125" style="44" customWidth="1"/>
    <col min="8" max="11" width="9.75390625" style="44" customWidth="1"/>
    <col min="12" max="12" width="10.125" style="44" customWidth="1"/>
    <col min="13" max="15" width="9.75390625" style="44" customWidth="1"/>
    <col min="16" max="16" width="9.125" style="44" customWidth="1"/>
    <col min="17" max="16384" width="9.00390625" style="44" customWidth="1"/>
  </cols>
  <sheetData>
    <row r="1" spans="1:16" s="218" customFormat="1" ht="18" customHeight="1">
      <c r="A1" s="210" t="s">
        <v>1077</v>
      </c>
      <c r="P1" s="258" t="s">
        <v>1033</v>
      </c>
    </row>
    <row r="2" spans="1:16" s="218" customFormat="1" ht="24.75" customHeight="1">
      <c r="A2" s="625" t="s">
        <v>1089</v>
      </c>
      <c r="B2" s="625"/>
      <c r="C2" s="625"/>
      <c r="D2" s="625"/>
      <c r="E2" s="625"/>
      <c r="F2" s="625"/>
      <c r="G2" s="625"/>
      <c r="H2" s="625" t="s">
        <v>1034</v>
      </c>
      <c r="I2" s="625"/>
      <c r="J2" s="625"/>
      <c r="K2" s="625"/>
      <c r="L2" s="625"/>
      <c r="M2" s="625"/>
      <c r="N2" s="625"/>
      <c r="O2" s="625"/>
      <c r="P2" s="625"/>
    </row>
    <row r="3" spans="1:16" s="218" customFormat="1" ht="15" customHeight="1" thickBot="1">
      <c r="A3" s="307"/>
      <c r="B3" s="307"/>
      <c r="C3" s="307"/>
      <c r="D3" s="307"/>
      <c r="E3" s="307"/>
      <c r="F3" s="307"/>
      <c r="G3" s="473" t="s">
        <v>1083</v>
      </c>
      <c r="H3" s="307"/>
      <c r="I3" s="307"/>
      <c r="J3" s="307"/>
      <c r="K3" s="473"/>
      <c r="L3" s="391"/>
      <c r="M3" s="307"/>
      <c r="N3" s="307"/>
      <c r="O3" s="307"/>
      <c r="P3" s="473" t="s">
        <v>1035</v>
      </c>
    </row>
    <row r="4" spans="1:16" s="218" customFormat="1" ht="18" customHeight="1">
      <c r="A4" s="660" t="s">
        <v>539</v>
      </c>
      <c r="B4" s="857" t="s">
        <v>1090</v>
      </c>
      <c r="C4" s="858"/>
      <c r="D4" s="858"/>
      <c r="E4" s="858"/>
      <c r="F4" s="982"/>
      <c r="G4" s="632" t="s">
        <v>1036</v>
      </c>
      <c r="H4" s="630"/>
      <c r="I4" s="630"/>
      <c r="J4" s="630"/>
      <c r="K4" s="631"/>
      <c r="L4" s="802" t="s">
        <v>1037</v>
      </c>
      <c r="M4" s="802"/>
      <c r="N4" s="802"/>
      <c r="O4" s="802"/>
      <c r="P4" s="803"/>
    </row>
    <row r="5" spans="1:16" s="218" customFormat="1" ht="27" customHeight="1">
      <c r="A5" s="641"/>
      <c r="B5" s="436" t="s">
        <v>1085</v>
      </c>
      <c r="C5" s="183" t="s">
        <v>1086</v>
      </c>
      <c r="D5" s="183" t="s">
        <v>1308</v>
      </c>
      <c r="E5" s="567" t="s">
        <v>1434</v>
      </c>
      <c r="F5" s="183" t="s">
        <v>1087</v>
      </c>
      <c r="G5" s="183" t="s">
        <v>1085</v>
      </c>
      <c r="H5" s="182" t="s">
        <v>1086</v>
      </c>
      <c r="I5" s="183" t="s">
        <v>1308</v>
      </c>
      <c r="J5" s="567" t="s">
        <v>1434</v>
      </c>
      <c r="K5" s="183" t="s">
        <v>1087</v>
      </c>
      <c r="L5" s="182" t="s">
        <v>1085</v>
      </c>
      <c r="M5" s="183" t="s">
        <v>1086</v>
      </c>
      <c r="N5" s="183" t="s">
        <v>1308</v>
      </c>
      <c r="O5" s="567" t="s">
        <v>1434</v>
      </c>
      <c r="P5" s="183" t="s">
        <v>1087</v>
      </c>
    </row>
    <row r="6" spans="1:16" s="309" customFormat="1" ht="39.75" customHeight="1" thickBot="1">
      <c r="A6" s="642"/>
      <c r="B6" s="465" t="s">
        <v>1038</v>
      </c>
      <c r="C6" s="172" t="s">
        <v>385</v>
      </c>
      <c r="D6" s="172" t="s">
        <v>1039</v>
      </c>
      <c r="E6" s="172" t="s">
        <v>1040</v>
      </c>
      <c r="F6" s="466" t="s">
        <v>76</v>
      </c>
      <c r="G6" s="172" t="s">
        <v>1038</v>
      </c>
      <c r="H6" s="171" t="s">
        <v>385</v>
      </c>
      <c r="I6" s="172" t="s">
        <v>1039</v>
      </c>
      <c r="J6" s="172" t="s">
        <v>1040</v>
      </c>
      <c r="K6" s="172" t="s">
        <v>76</v>
      </c>
      <c r="L6" s="171" t="s">
        <v>1038</v>
      </c>
      <c r="M6" s="172" t="s">
        <v>385</v>
      </c>
      <c r="N6" s="172" t="s">
        <v>1039</v>
      </c>
      <c r="O6" s="172" t="s">
        <v>1040</v>
      </c>
      <c r="P6" s="172" t="s">
        <v>76</v>
      </c>
    </row>
    <row r="7" spans="1:16" ht="33.75" customHeight="1">
      <c r="A7" s="468" t="s">
        <v>540</v>
      </c>
      <c r="B7" s="513">
        <v>19.29</v>
      </c>
      <c r="C7" s="513">
        <v>4</v>
      </c>
      <c r="D7" s="513">
        <v>1</v>
      </c>
      <c r="E7" s="513">
        <v>0</v>
      </c>
      <c r="F7" s="513">
        <v>12.7</v>
      </c>
      <c r="G7" s="513">
        <v>10.18</v>
      </c>
      <c r="H7" s="513">
        <v>0</v>
      </c>
      <c r="I7" s="513">
        <v>0</v>
      </c>
      <c r="J7" s="513">
        <v>0</v>
      </c>
      <c r="K7" s="513">
        <v>22.5</v>
      </c>
      <c r="L7" s="513">
        <v>2.7</v>
      </c>
      <c r="M7" s="513">
        <v>16</v>
      </c>
      <c r="N7" s="513">
        <v>4</v>
      </c>
      <c r="O7" s="513">
        <v>0</v>
      </c>
      <c r="P7" s="513">
        <v>1</v>
      </c>
    </row>
    <row r="8" spans="1:16" ht="33.75" customHeight="1">
      <c r="A8" s="441" t="s">
        <v>541</v>
      </c>
      <c r="B8" s="514">
        <v>17.94</v>
      </c>
      <c r="C8" s="513">
        <v>3</v>
      </c>
      <c r="D8" s="513">
        <v>0</v>
      </c>
      <c r="E8" s="513">
        <v>0</v>
      </c>
      <c r="F8" s="513">
        <v>10.5</v>
      </c>
      <c r="G8" s="513">
        <v>12.79</v>
      </c>
      <c r="H8" s="513">
        <v>0</v>
      </c>
      <c r="I8" s="513">
        <v>0</v>
      </c>
      <c r="J8" s="513">
        <v>0</v>
      </c>
      <c r="K8" s="513">
        <v>22.5</v>
      </c>
      <c r="L8" s="513">
        <v>5.35</v>
      </c>
      <c r="M8" s="513">
        <v>0</v>
      </c>
      <c r="N8" s="513">
        <v>28</v>
      </c>
      <c r="O8" s="513">
        <v>4</v>
      </c>
      <c r="P8" s="513">
        <v>1</v>
      </c>
    </row>
    <row r="9" spans="1:16" ht="33.75" customHeight="1">
      <c r="A9" s="441" t="s">
        <v>542</v>
      </c>
      <c r="B9" s="514">
        <v>20.11</v>
      </c>
      <c r="C9" s="513">
        <v>6</v>
      </c>
      <c r="D9" s="513">
        <v>0</v>
      </c>
      <c r="E9" s="513">
        <v>0</v>
      </c>
      <c r="F9" s="513">
        <v>17.1</v>
      </c>
      <c r="G9" s="513">
        <v>9.87</v>
      </c>
      <c r="H9" s="513">
        <v>1</v>
      </c>
      <c r="I9" s="513">
        <v>0</v>
      </c>
      <c r="J9" s="513">
        <v>0</v>
      </c>
      <c r="K9" s="513">
        <v>17</v>
      </c>
      <c r="L9" s="513">
        <v>8.5</v>
      </c>
      <c r="M9" s="513">
        <v>80</v>
      </c>
      <c r="N9" s="513">
        <v>6</v>
      </c>
      <c r="O9" s="513">
        <v>0</v>
      </c>
      <c r="P9" s="513">
        <v>16</v>
      </c>
    </row>
    <row r="10" spans="1:16" ht="33.75" customHeight="1">
      <c r="A10" s="468" t="s">
        <v>543</v>
      </c>
      <c r="B10" s="513">
        <v>29.11</v>
      </c>
      <c r="C10" s="513">
        <v>2</v>
      </c>
      <c r="D10" s="513">
        <v>2</v>
      </c>
      <c r="E10" s="513">
        <v>0</v>
      </c>
      <c r="F10" s="513">
        <v>28.4</v>
      </c>
      <c r="G10" s="513">
        <v>14.84</v>
      </c>
      <c r="H10" s="513">
        <v>2</v>
      </c>
      <c r="I10" s="513">
        <v>0</v>
      </c>
      <c r="J10" s="513">
        <v>0</v>
      </c>
      <c r="K10" s="513">
        <v>35.5</v>
      </c>
      <c r="L10" s="513">
        <v>18.17</v>
      </c>
      <c r="M10" s="513">
        <v>61</v>
      </c>
      <c r="N10" s="513">
        <v>4</v>
      </c>
      <c r="O10" s="513">
        <v>0</v>
      </c>
      <c r="P10" s="513">
        <v>30.5</v>
      </c>
    </row>
    <row r="11" spans="1:16" ht="33.75" customHeight="1">
      <c r="A11" s="468" t="s">
        <v>544</v>
      </c>
      <c r="B11" s="513">
        <v>39.8</v>
      </c>
      <c r="C11" s="513">
        <v>7</v>
      </c>
      <c r="D11" s="513">
        <v>3</v>
      </c>
      <c r="E11" s="513">
        <v>0</v>
      </c>
      <c r="F11" s="513">
        <v>23.16</v>
      </c>
      <c r="G11" s="513">
        <v>10.88</v>
      </c>
      <c r="H11" s="513">
        <v>0</v>
      </c>
      <c r="I11" s="513">
        <v>1</v>
      </c>
      <c r="J11" s="513">
        <v>0</v>
      </c>
      <c r="K11" s="513">
        <v>23.14</v>
      </c>
      <c r="L11" s="513">
        <v>14.03</v>
      </c>
      <c r="M11" s="513">
        <v>45.28</v>
      </c>
      <c r="N11" s="513">
        <v>13.5</v>
      </c>
      <c r="O11" s="513">
        <v>0</v>
      </c>
      <c r="P11" s="513">
        <v>9</v>
      </c>
    </row>
    <row r="12" spans="1:16" ht="33.75" customHeight="1">
      <c r="A12" s="468" t="s">
        <v>545</v>
      </c>
      <c r="B12" s="513">
        <v>34.73</v>
      </c>
      <c r="C12" s="513">
        <v>3.15</v>
      </c>
      <c r="D12" s="513">
        <v>5.04</v>
      </c>
      <c r="E12" s="513">
        <v>0</v>
      </c>
      <c r="F12" s="513">
        <v>27.67</v>
      </c>
      <c r="G12" s="513">
        <v>14.11</v>
      </c>
      <c r="H12" s="513">
        <v>0.11</v>
      </c>
      <c r="I12" s="513">
        <v>0.44</v>
      </c>
      <c r="J12" s="513">
        <v>0</v>
      </c>
      <c r="K12" s="513">
        <v>23.35</v>
      </c>
      <c r="L12" s="513">
        <v>29.64</v>
      </c>
      <c r="M12" s="513">
        <v>38.11</v>
      </c>
      <c r="N12" s="513">
        <v>6.44</v>
      </c>
      <c r="O12" s="513">
        <v>3</v>
      </c>
      <c r="P12" s="513">
        <v>26.41</v>
      </c>
    </row>
    <row r="13" spans="1:16" s="79" customFormat="1" ht="33.75" customHeight="1">
      <c r="A13" s="468" t="s">
        <v>546</v>
      </c>
      <c r="B13" s="513">
        <v>45.21</v>
      </c>
      <c r="C13" s="513">
        <v>1.2</v>
      </c>
      <c r="D13" s="513">
        <v>5</v>
      </c>
      <c r="E13" s="513">
        <v>0</v>
      </c>
      <c r="F13" s="513">
        <v>43.66</v>
      </c>
      <c r="G13" s="513">
        <v>18.94</v>
      </c>
      <c r="H13" s="513">
        <v>0.2</v>
      </c>
      <c r="I13" s="513">
        <v>0</v>
      </c>
      <c r="J13" s="513">
        <v>0</v>
      </c>
      <c r="K13" s="513">
        <v>28.44</v>
      </c>
      <c r="L13" s="513">
        <v>86.73</v>
      </c>
      <c r="M13" s="513">
        <v>66.9</v>
      </c>
      <c r="N13" s="513">
        <v>18</v>
      </c>
      <c r="O13" s="513">
        <v>2</v>
      </c>
      <c r="P13" s="513">
        <v>37.4</v>
      </c>
    </row>
    <row r="14" spans="1:16" ht="33.75" customHeight="1">
      <c r="A14" s="468" t="s">
        <v>547</v>
      </c>
      <c r="B14" s="513">
        <v>44.36</v>
      </c>
      <c r="C14" s="513">
        <v>5</v>
      </c>
      <c r="D14" s="513">
        <v>3</v>
      </c>
      <c r="E14" s="513">
        <v>3</v>
      </c>
      <c r="F14" s="513">
        <v>56.73</v>
      </c>
      <c r="G14" s="513">
        <v>10.79</v>
      </c>
      <c r="H14" s="513">
        <v>0</v>
      </c>
      <c r="I14" s="513">
        <v>0</v>
      </c>
      <c r="J14" s="513">
        <v>0</v>
      </c>
      <c r="K14" s="513">
        <v>20.41</v>
      </c>
      <c r="L14" s="513">
        <v>6.83</v>
      </c>
      <c r="M14" s="513">
        <v>65</v>
      </c>
      <c r="N14" s="513">
        <v>26</v>
      </c>
      <c r="O14" s="513">
        <v>2</v>
      </c>
      <c r="P14" s="513">
        <v>16</v>
      </c>
    </row>
    <row r="15" spans="1:16" ht="33.75" customHeight="1">
      <c r="A15" s="468" t="s">
        <v>1020</v>
      </c>
      <c r="B15" s="513">
        <v>40.95</v>
      </c>
      <c r="C15" s="513">
        <v>10.1</v>
      </c>
      <c r="D15" s="513">
        <v>4</v>
      </c>
      <c r="E15" s="513">
        <v>4</v>
      </c>
      <c r="F15" s="513">
        <v>54.279999999999994</v>
      </c>
      <c r="G15" s="513">
        <v>10.81</v>
      </c>
      <c r="H15" s="513">
        <v>0.1</v>
      </c>
      <c r="I15" s="513">
        <v>0</v>
      </c>
      <c r="J15" s="513">
        <v>0</v>
      </c>
      <c r="K15" s="513">
        <v>22.560000000000002</v>
      </c>
      <c r="L15" s="513">
        <v>11.32</v>
      </c>
      <c r="M15" s="513">
        <v>62.1</v>
      </c>
      <c r="N15" s="513">
        <v>30</v>
      </c>
      <c r="O15" s="513">
        <v>0</v>
      </c>
      <c r="P15" s="513">
        <v>17.3</v>
      </c>
    </row>
    <row r="16" spans="1:16" ht="33.75" customHeight="1">
      <c r="A16" s="468" t="s">
        <v>1209</v>
      </c>
      <c r="B16" s="513">
        <f>B17+B25+B28</f>
        <v>43.08</v>
      </c>
      <c r="C16" s="513">
        <f aca="true" t="shared" si="0" ref="C16:P16">C17+C25+C28</f>
        <v>12</v>
      </c>
      <c r="D16" s="513">
        <f t="shared" si="0"/>
        <v>0</v>
      </c>
      <c r="E16" s="513">
        <f t="shared" si="0"/>
        <v>3</v>
      </c>
      <c r="F16" s="513">
        <f t="shared" si="0"/>
        <v>47.18</v>
      </c>
      <c r="G16" s="513">
        <f t="shared" si="0"/>
        <v>15.36</v>
      </c>
      <c r="H16" s="513">
        <f t="shared" si="0"/>
        <v>0</v>
      </c>
      <c r="I16" s="513">
        <f t="shared" si="0"/>
        <v>0</v>
      </c>
      <c r="J16" s="513">
        <f t="shared" si="0"/>
        <v>0</v>
      </c>
      <c r="K16" s="513">
        <f t="shared" si="0"/>
        <v>26.43</v>
      </c>
      <c r="L16" s="513">
        <f t="shared" si="0"/>
        <v>10.4</v>
      </c>
      <c r="M16" s="513">
        <f t="shared" si="0"/>
        <v>66</v>
      </c>
      <c r="N16" s="513">
        <f t="shared" si="0"/>
        <v>29</v>
      </c>
      <c r="O16" s="513">
        <f t="shared" si="0"/>
        <v>0</v>
      </c>
      <c r="P16" s="513">
        <f t="shared" si="0"/>
        <v>21.09</v>
      </c>
    </row>
    <row r="17" spans="1:16" s="79" customFormat="1" ht="34.5" customHeight="1">
      <c r="A17" s="468" t="s">
        <v>548</v>
      </c>
      <c r="B17" s="508">
        <f>SUM(B18:B23)</f>
        <v>41.08</v>
      </c>
      <c r="C17" s="508">
        <f aca="true" t="shared" si="1" ref="C17:L17">SUM(C18:C23)</f>
        <v>6</v>
      </c>
      <c r="D17" s="508">
        <f t="shared" si="1"/>
        <v>0</v>
      </c>
      <c r="E17" s="508">
        <f t="shared" si="1"/>
        <v>0</v>
      </c>
      <c r="F17" s="508">
        <f t="shared" si="1"/>
        <v>47.18</v>
      </c>
      <c r="G17" s="508">
        <f t="shared" si="1"/>
        <v>15.36</v>
      </c>
      <c r="H17" s="508">
        <f t="shared" si="1"/>
        <v>0</v>
      </c>
      <c r="I17" s="508">
        <f>SUM(I18:I23)</f>
        <v>0</v>
      </c>
      <c r="J17" s="508">
        <f t="shared" si="1"/>
        <v>0</v>
      </c>
      <c r="K17" s="508">
        <f t="shared" si="1"/>
        <v>26.43</v>
      </c>
      <c r="L17" s="508">
        <f t="shared" si="1"/>
        <v>8.4</v>
      </c>
      <c r="M17" s="508">
        <f>SUM(M18:M23)</f>
        <v>45</v>
      </c>
      <c r="N17" s="508">
        <f>SUM(N18:N23)</f>
        <v>29</v>
      </c>
      <c r="O17" s="508">
        <f>SUM(O18:O23)</f>
        <v>0</v>
      </c>
      <c r="P17" s="508">
        <f>SUM(P18:P23)</f>
        <v>19.09</v>
      </c>
    </row>
    <row r="18" spans="1:16" ht="11.25" customHeight="1">
      <c r="A18" s="468" t="s">
        <v>1041</v>
      </c>
      <c r="B18" s="983"/>
      <c r="C18" s="983"/>
      <c r="D18" s="983"/>
      <c r="E18" s="983"/>
      <c r="F18" s="983"/>
      <c r="G18" s="984"/>
      <c r="H18" s="984"/>
      <c r="I18" s="984"/>
      <c r="J18" s="984"/>
      <c r="K18" s="984"/>
      <c r="L18" s="984"/>
      <c r="M18" s="984"/>
      <c r="N18" s="984"/>
      <c r="O18" s="984"/>
      <c r="P18" s="984"/>
    </row>
    <row r="19" spans="1:16" ht="34.5" customHeight="1">
      <c r="A19" s="468" t="s">
        <v>1042</v>
      </c>
      <c r="B19" s="508">
        <v>9</v>
      </c>
      <c r="C19" s="508">
        <v>6</v>
      </c>
      <c r="D19" s="508">
        <v>0</v>
      </c>
      <c r="E19" s="508">
        <v>0</v>
      </c>
      <c r="F19" s="508">
        <v>0</v>
      </c>
      <c r="G19" s="508">
        <v>2</v>
      </c>
      <c r="H19" s="508">
        <v>0</v>
      </c>
      <c r="I19" s="508">
        <v>0</v>
      </c>
      <c r="J19" s="508">
        <v>0</v>
      </c>
      <c r="K19" s="508">
        <v>5</v>
      </c>
      <c r="L19" s="508">
        <v>4</v>
      </c>
      <c r="M19" s="508">
        <v>45</v>
      </c>
      <c r="N19" s="508">
        <v>29</v>
      </c>
      <c r="O19" s="508">
        <v>0</v>
      </c>
      <c r="P19" s="508">
        <v>14</v>
      </c>
    </row>
    <row r="20" spans="1:16" s="474" customFormat="1" ht="11.25" customHeight="1">
      <c r="A20" s="468" t="s">
        <v>1043</v>
      </c>
      <c r="B20" s="512"/>
      <c r="C20" s="512"/>
      <c r="D20" s="512"/>
      <c r="E20" s="512"/>
      <c r="F20" s="512"/>
      <c r="G20" s="512"/>
      <c r="H20" s="508"/>
      <c r="I20" s="508"/>
      <c r="J20" s="508"/>
      <c r="K20" s="512"/>
      <c r="L20" s="512"/>
      <c r="M20" s="512"/>
      <c r="N20" s="512"/>
      <c r="O20" s="512"/>
      <c r="P20" s="512"/>
    </row>
    <row r="21" spans="1:16" ht="34.5" customHeight="1">
      <c r="A21" s="468" t="s">
        <v>1044</v>
      </c>
      <c r="B21" s="508">
        <v>32.08</v>
      </c>
      <c r="C21" s="508">
        <v>0</v>
      </c>
      <c r="D21" s="508">
        <v>0</v>
      </c>
      <c r="E21" s="508">
        <v>0</v>
      </c>
      <c r="F21" s="508">
        <v>47.18</v>
      </c>
      <c r="G21" s="508">
        <v>13.36</v>
      </c>
      <c r="H21" s="508">
        <v>0</v>
      </c>
      <c r="I21" s="508">
        <v>0</v>
      </c>
      <c r="J21" s="508">
        <v>0</v>
      </c>
      <c r="K21" s="508">
        <v>21.43</v>
      </c>
      <c r="L21" s="508">
        <v>4.4</v>
      </c>
      <c r="M21" s="508">
        <v>0</v>
      </c>
      <c r="N21" s="508">
        <v>0</v>
      </c>
      <c r="O21" s="508">
        <v>0</v>
      </c>
      <c r="P21" s="508">
        <v>5.09</v>
      </c>
    </row>
    <row r="22" spans="1:16" ht="11.25" customHeight="1">
      <c r="A22" s="468" t="s">
        <v>1045</v>
      </c>
      <c r="B22" s="508"/>
      <c r="C22" s="508"/>
      <c r="D22" s="508"/>
      <c r="E22" s="508"/>
      <c r="F22" s="508"/>
      <c r="G22" s="508"/>
      <c r="H22" s="508"/>
      <c r="I22" s="508"/>
      <c r="J22" s="508"/>
      <c r="K22" s="508"/>
      <c r="L22" s="508"/>
      <c r="M22" s="508"/>
      <c r="N22" s="508"/>
      <c r="O22" s="508"/>
      <c r="P22" s="508"/>
    </row>
    <row r="23" spans="1:16" ht="34.5" customHeight="1">
      <c r="A23" s="468" t="s">
        <v>1244</v>
      </c>
      <c r="B23" s="508">
        <v>0</v>
      </c>
      <c r="C23" s="508">
        <v>0</v>
      </c>
      <c r="D23" s="508">
        <v>0</v>
      </c>
      <c r="E23" s="508">
        <v>0</v>
      </c>
      <c r="F23" s="508">
        <v>0</v>
      </c>
      <c r="G23" s="508">
        <v>0</v>
      </c>
      <c r="H23" s="508">
        <v>0</v>
      </c>
      <c r="I23" s="508">
        <v>0</v>
      </c>
      <c r="J23" s="508">
        <v>0</v>
      </c>
      <c r="K23" s="508">
        <v>0</v>
      </c>
      <c r="L23" s="508">
        <v>0</v>
      </c>
      <c r="M23" s="508">
        <v>0</v>
      </c>
      <c r="N23" s="508">
        <v>0</v>
      </c>
      <c r="O23" s="508">
        <v>0</v>
      </c>
      <c r="P23" s="508">
        <v>0</v>
      </c>
    </row>
    <row r="24" spans="1:16" ht="11.25" customHeight="1">
      <c r="A24" s="468" t="s">
        <v>1046</v>
      </c>
      <c r="B24" s="508"/>
      <c r="C24" s="508"/>
      <c r="D24" s="508"/>
      <c r="E24" s="508"/>
      <c r="F24" s="508"/>
      <c r="G24" s="508"/>
      <c r="H24" s="508"/>
      <c r="I24" s="508"/>
      <c r="J24" s="508"/>
      <c r="K24" s="508"/>
      <c r="L24" s="508"/>
      <c r="M24" s="508"/>
      <c r="N24" s="508"/>
      <c r="O24" s="508"/>
      <c r="P24" s="508"/>
    </row>
    <row r="25" spans="1:16" ht="34.5" customHeight="1">
      <c r="A25" s="468" t="s">
        <v>1047</v>
      </c>
      <c r="B25" s="508">
        <v>0</v>
      </c>
      <c r="C25" s="508">
        <v>0</v>
      </c>
      <c r="D25" s="508">
        <v>0</v>
      </c>
      <c r="E25" s="508">
        <v>0</v>
      </c>
      <c r="F25" s="508">
        <v>0</v>
      </c>
      <c r="G25" s="508">
        <v>0</v>
      </c>
      <c r="H25" s="508">
        <v>0</v>
      </c>
      <c r="I25" s="508">
        <v>0</v>
      </c>
      <c r="J25" s="508">
        <v>0</v>
      </c>
      <c r="K25" s="508">
        <v>0</v>
      </c>
      <c r="L25" s="508">
        <v>2</v>
      </c>
      <c r="M25" s="508">
        <v>21</v>
      </c>
      <c r="N25" s="508">
        <v>0</v>
      </c>
      <c r="O25" s="508">
        <v>0</v>
      </c>
      <c r="P25" s="508">
        <v>2</v>
      </c>
    </row>
    <row r="26" spans="1:16" ht="11.25" customHeight="1">
      <c r="A26" s="468" t="s">
        <v>1048</v>
      </c>
      <c r="B26" s="508"/>
      <c r="C26" s="508"/>
      <c r="D26" s="508"/>
      <c r="E26" s="508"/>
      <c r="F26" s="508"/>
      <c r="G26" s="508"/>
      <c r="H26" s="508"/>
      <c r="I26" s="508"/>
      <c r="J26" s="508"/>
      <c r="K26" s="508"/>
      <c r="L26" s="508"/>
      <c r="M26" s="508"/>
      <c r="N26" s="508"/>
      <c r="O26" s="508"/>
      <c r="P26" s="508"/>
    </row>
    <row r="27" spans="1:16" ht="11.25" customHeight="1">
      <c r="A27" s="468" t="s">
        <v>1049</v>
      </c>
      <c r="B27" s="508"/>
      <c r="C27" s="508"/>
      <c r="D27" s="508"/>
      <c r="E27" s="508"/>
      <c r="F27" s="508"/>
      <c r="G27" s="508"/>
      <c r="H27" s="508"/>
      <c r="I27" s="508"/>
      <c r="J27" s="508"/>
      <c r="K27" s="508"/>
      <c r="L27" s="508"/>
      <c r="M27" s="508"/>
      <c r="N27" s="508"/>
      <c r="O27" s="508"/>
      <c r="P27" s="508"/>
    </row>
    <row r="28" spans="1:16" ht="34.5" customHeight="1">
      <c r="A28" s="468" t="s">
        <v>1245</v>
      </c>
      <c r="B28" s="508">
        <v>2</v>
      </c>
      <c r="C28" s="508">
        <v>6</v>
      </c>
      <c r="D28" s="508">
        <v>0</v>
      </c>
      <c r="E28" s="508">
        <v>3</v>
      </c>
      <c r="F28" s="508">
        <v>0</v>
      </c>
      <c r="G28" s="508">
        <v>0</v>
      </c>
      <c r="H28" s="508">
        <v>0</v>
      </c>
      <c r="I28" s="508">
        <v>0</v>
      </c>
      <c r="J28" s="508">
        <v>0</v>
      </c>
      <c r="K28" s="508">
        <v>0</v>
      </c>
      <c r="L28" s="508">
        <v>0</v>
      </c>
      <c r="M28" s="508">
        <v>0</v>
      </c>
      <c r="N28" s="508">
        <v>0</v>
      </c>
      <c r="O28" s="508">
        <v>0</v>
      </c>
      <c r="P28" s="508">
        <v>0</v>
      </c>
    </row>
    <row r="29" spans="1:16" s="79" customFormat="1" ht="11.25" customHeight="1">
      <c r="A29" s="468" t="s">
        <v>1246</v>
      </c>
      <c r="B29" s="420"/>
      <c r="C29" s="420"/>
      <c r="D29" s="144"/>
      <c r="E29" s="420"/>
      <c r="F29" s="420"/>
      <c r="G29" s="420"/>
      <c r="H29" s="420"/>
      <c r="I29" s="420"/>
      <c r="J29" s="420"/>
      <c r="K29" s="420"/>
      <c r="L29" s="420"/>
      <c r="M29" s="420"/>
      <c r="N29" s="420"/>
      <c r="O29" s="420"/>
      <c r="P29" s="420"/>
    </row>
    <row r="30" spans="1:16" ht="18.75" customHeight="1" hidden="1">
      <c r="A30" s="471" t="s">
        <v>1210</v>
      </c>
      <c r="B30" s="48"/>
      <c r="C30" s="48"/>
      <c r="D30" s="475"/>
      <c r="E30" s="48"/>
      <c r="F30" s="48"/>
      <c r="G30" s="48"/>
      <c r="H30" s="48"/>
      <c r="I30" s="48"/>
      <c r="J30" s="48"/>
      <c r="K30" s="48"/>
      <c r="L30" s="48"/>
      <c r="M30" s="48"/>
      <c r="N30" s="48"/>
      <c r="O30" s="48"/>
      <c r="P30" s="48"/>
    </row>
    <row r="31" spans="1:16" ht="13.5" customHeight="1" thickBot="1">
      <c r="A31" s="471" t="s">
        <v>1210</v>
      </c>
      <c r="B31" s="419"/>
      <c r="C31" s="419"/>
      <c r="D31" s="419"/>
      <c r="E31" s="419"/>
      <c r="F31" s="419"/>
      <c r="G31" s="419"/>
      <c r="H31" s="476"/>
      <c r="I31" s="419"/>
      <c r="J31" s="419"/>
      <c r="K31" s="419"/>
      <c r="L31" s="419"/>
      <c r="M31" s="419"/>
      <c r="N31" s="419"/>
      <c r="O31" s="419"/>
      <c r="P31" s="419"/>
    </row>
  </sheetData>
  <sheetProtection/>
  <mergeCells count="9">
    <mergeCell ref="B18:F18"/>
    <mergeCell ref="G18:K18"/>
    <mergeCell ref="L18:P18"/>
    <mergeCell ref="A2:G2"/>
    <mergeCell ref="H2:P2"/>
    <mergeCell ref="A4:A6"/>
    <mergeCell ref="B4:F4"/>
    <mergeCell ref="G4:K4"/>
    <mergeCell ref="L4:P4"/>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colBreaks count="1" manualBreakCount="1">
    <brk id="7" max="65535" man="1"/>
  </colBreaks>
</worksheet>
</file>

<file path=xl/worksheets/sheet31.xml><?xml version="1.0" encoding="utf-8"?>
<worksheet xmlns="http://schemas.openxmlformats.org/spreadsheetml/2006/main" xmlns:r="http://schemas.openxmlformats.org/officeDocument/2006/relationships">
  <dimension ref="A1:X31"/>
  <sheetViews>
    <sheetView showGridLines="0" view="pageBreakPreview" zoomScale="70" zoomScaleSheetLayoutView="70" workbookViewId="0" topLeftCell="A1">
      <pane xSplit="1" ySplit="6" topLeftCell="B10" activePane="bottomRight" state="frozen"/>
      <selection pane="topLeft" activeCell="A1" sqref="A1"/>
      <selection pane="topRight" activeCell="A1" sqref="A1"/>
      <selection pane="bottomLeft" activeCell="A1" sqref="A1"/>
      <selection pane="bottomRight" activeCell="E5" activeCellId="1" sqref="J5 E5"/>
    </sheetView>
  </sheetViews>
  <sheetFormatPr defaultColWidth="9.00390625" defaultRowHeight="16.5"/>
  <cols>
    <col min="1" max="1" width="25.875" style="218" customWidth="1"/>
    <col min="2" max="2" width="10.125" style="44" customWidth="1"/>
    <col min="3" max="3" width="9.625" style="44" customWidth="1"/>
    <col min="4" max="6" width="10.625" style="44" customWidth="1"/>
    <col min="7" max="7" width="10.125" style="44" customWidth="1"/>
    <col min="8" max="8" width="9.625" style="44" customWidth="1"/>
    <col min="9" max="11" width="9.75390625" style="44" customWidth="1"/>
    <col min="12" max="12" width="10.125" style="44" customWidth="1"/>
    <col min="13" max="13" width="9.625" style="44" customWidth="1"/>
    <col min="14" max="15" width="9.75390625" style="44" customWidth="1"/>
    <col min="16" max="16" width="9.125" style="44" customWidth="1"/>
    <col min="17" max="16384" width="9.00390625" style="44" customWidth="1"/>
  </cols>
  <sheetData>
    <row r="1" spans="1:16" s="218" customFormat="1" ht="18" customHeight="1">
      <c r="A1" s="210" t="s">
        <v>1077</v>
      </c>
      <c r="P1" s="258" t="s">
        <v>1050</v>
      </c>
    </row>
    <row r="2" spans="1:16" s="218" customFormat="1" ht="24.75" customHeight="1">
      <c r="A2" s="625" t="s">
        <v>1082</v>
      </c>
      <c r="B2" s="625"/>
      <c r="C2" s="625"/>
      <c r="D2" s="625"/>
      <c r="E2" s="625"/>
      <c r="F2" s="625"/>
      <c r="G2" s="625"/>
      <c r="H2" s="625" t="s">
        <v>1051</v>
      </c>
      <c r="I2" s="625"/>
      <c r="J2" s="625"/>
      <c r="K2" s="625"/>
      <c r="L2" s="625"/>
      <c r="M2" s="625"/>
      <c r="N2" s="625"/>
      <c r="O2" s="625"/>
      <c r="P2" s="625"/>
    </row>
    <row r="3" spans="1:16" s="218" customFormat="1" ht="15" customHeight="1" thickBot="1">
      <c r="A3" s="253"/>
      <c r="B3" s="253"/>
      <c r="C3" s="253"/>
      <c r="D3" s="253"/>
      <c r="E3" s="253"/>
      <c r="F3" s="253"/>
      <c r="G3" s="449" t="s">
        <v>1083</v>
      </c>
      <c r="H3" s="253"/>
      <c r="I3" s="253"/>
      <c r="J3" s="253"/>
      <c r="K3" s="449"/>
      <c r="L3" s="247"/>
      <c r="M3" s="253"/>
      <c r="N3" s="253"/>
      <c r="O3" s="253"/>
      <c r="P3" s="449" t="s">
        <v>1052</v>
      </c>
    </row>
    <row r="4" spans="1:16" s="218" customFormat="1" ht="18" customHeight="1">
      <c r="A4" s="660" t="s">
        <v>539</v>
      </c>
      <c r="B4" s="801" t="s">
        <v>1247</v>
      </c>
      <c r="C4" s="802"/>
      <c r="D4" s="802"/>
      <c r="E4" s="802"/>
      <c r="F4" s="803"/>
      <c r="G4" s="857" t="s">
        <v>1053</v>
      </c>
      <c r="H4" s="858"/>
      <c r="I4" s="858"/>
      <c r="J4" s="858"/>
      <c r="K4" s="982"/>
      <c r="L4" s="857" t="s">
        <v>1084</v>
      </c>
      <c r="M4" s="858"/>
      <c r="N4" s="858"/>
      <c r="O4" s="858"/>
      <c r="P4" s="858"/>
    </row>
    <row r="5" spans="1:16" s="218" customFormat="1" ht="27" customHeight="1">
      <c r="A5" s="641"/>
      <c r="B5" s="436" t="s">
        <v>1085</v>
      </c>
      <c r="C5" s="183" t="s">
        <v>1086</v>
      </c>
      <c r="D5" s="183" t="s">
        <v>1308</v>
      </c>
      <c r="E5" s="567" t="s">
        <v>1434</v>
      </c>
      <c r="F5" s="183" t="s">
        <v>1087</v>
      </c>
      <c r="G5" s="183" t="s">
        <v>1085</v>
      </c>
      <c r="H5" s="182" t="s">
        <v>1086</v>
      </c>
      <c r="I5" s="523" t="s">
        <v>1248</v>
      </c>
      <c r="J5" s="567" t="s">
        <v>1434</v>
      </c>
      <c r="K5" s="183" t="s">
        <v>1087</v>
      </c>
      <c r="L5" s="183" t="s">
        <v>1085</v>
      </c>
      <c r="M5" s="183" t="s">
        <v>1086</v>
      </c>
      <c r="N5" s="183" t="s">
        <v>1308</v>
      </c>
      <c r="O5" s="567" t="s">
        <v>1434</v>
      </c>
      <c r="P5" s="427" t="s">
        <v>1087</v>
      </c>
    </row>
    <row r="6" spans="1:16" s="309" customFormat="1" ht="39.75" customHeight="1" thickBot="1">
      <c r="A6" s="642"/>
      <c r="B6" s="465" t="s">
        <v>1054</v>
      </c>
      <c r="C6" s="172" t="s">
        <v>385</v>
      </c>
      <c r="D6" s="172" t="s">
        <v>1055</v>
      </c>
      <c r="E6" s="172" t="s">
        <v>1056</v>
      </c>
      <c r="F6" s="466" t="s">
        <v>76</v>
      </c>
      <c r="G6" s="172" t="s">
        <v>1054</v>
      </c>
      <c r="H6" s="171" t="s">
        <v>385</v>
      </c>
      <c r="I6" s="467" t="s">
        <v>1055</v>
      </c>
      <c r="J6" s="172" t="s">
        <v>1056</v>
      </c>
      <c r="K6" s="172" t="s">
        <v>76</v>
      </c>
      <c r="L6" s="172" t="s">
        <v>1054</v>
      </c>
      <c r="M6" s="172" t="s">
        <v>385</v>
      </c>
      <c r="N6" s="467" t="s">
        <v>1055</v>
      </c>
      <c r="O6" s="172" t="s">
        <v>1056</v>
      </c>
      <c r="P6" s="466" t="s">
        <v>76</v>
      </c>
    </row>
    <row r="7" spans="1:16" ht="32.25" customHeight="1">
      <c r="A7" s="468" t="s">
        <v>540</v>
      </c>
      <c r="B7" s="513">
        <v>3.7</v>
      </c>
      <c r="C7" s="513">
        <v>0</v>
      </c>
      <c r="D7" s="513">
        <v>0</v>
      </c>
      <c r="E7" s="513">
        <v>0</v>
      </c>
      <c r="F7" s="513">
        <v>0</v>
      </c>
      <c r="G7" s="513" t="s">
        <v>208</v>
      </c>
      <c r="H7" s="513" t="s">
        <v>208</v>
      </c>
      <c r="I7" s="513" t="s">
        <v>208</v>
      </c>
      <c r="J7" s="513" t="s">
        <v>208</v>
      </c>
      <c r="K7" s="513" t="s">
        <v>208</v>
      </c>
      <c r="L7" s="513" t="s">
        <v>208</v>
      </c>
      <c r="M7" s="513" t="s">
        <v>208</v>
      </c>
      <c r="N7" s="513" t="s">
        <v>208</v>
      </c>
      <c r="O7" s="513" t="s">
        <v>208</v>
      </c>
      <c r="P7" s="513" t="s">
        <v>208</v>
      </c>
    </row>
    <row r="8" spans="1:16" ht="32.25" customHeight="1">
      <c r="A8" s="468" t="s">
        <v>541</v>
      </c>
      <c r="B8" s="513">
        <v>2.97</v>
      </c>
      <c r="C8" s="513">
        <v>0</v>
      </c>
      <c r="D8" s="513">
        <v>0</v>
      </c>
      <c r="E8" s="513">
        <v>0</v>
      </c>
      <c r="F8" s="513">
        <v>0</v>
      </c>
      <c r="G8" s="513" t="s">
        <v>208</v>
      </c>
      <c r="H8" s="513" t="s">
        <v>208</v>
      </c>
      <c r="I8" s="513" t="s">
        <v>208</v>
      </c>
      <c r="J8" s="513" t="s">
        <v>208</v>
      </c>
      <c r="K8" s="513" t="s">
        <v>208</v>
      </c>
      <c r="L8" s="513" t="s">
        <v>208</v>
      </c>
      <c r="M8" s="513" t="s">
        <v>208</v>
      </c>
      <c r="N8" s="513" t="s">
        <v>208</v>
      </c>
      <c r="O8" s="513" t="s">
        <v>208</v>
      </c>
      <c r="P8" s="513" t="s">
        <v>208</v>
      </c>
    </row>
    <row r="9" spans="1:16" ht="32.25" customHeight="1">
      <c r="A9" s="468" t="s">
        <v>542</v>
      </c>
      <c r="B9" s="513">
        <v>2.4</v>
      </c>
      <c r="C9" s="513">
        <v>0</v>
      </c>
      <c r="D9" s="513">
        <v>0</v>
      </c>
      <c r="E9" s="513">
        <v>0</v>
      </c>
      <c r="F9" s="513">
        <v>1</v>
      </c>
      <c r="G9" s="513" t="s">
        <v>208</v>
      </c>
      <c r="H9" s="513" t="s">
        <v>208</v>
      </c>
      <c r="I9" s="513" t="s">
        <v>208</v>
      </c>
      <c r="J9" s="513" t="s">
        <v>208</v>
      </c>
      <c r="K9" s="513" t="s">
        <v>208</v>
      </c>
      <c r="L9" s="513" t="s">
        <v>208</v>
      </c>
      <c r="M9" s="513" t="s">
        <v>208</v>
      </c>
      <c r="N9" s="513" t="s">
        <v>208</v>
      </c>
      <c r="O9" s="513" t="s">
        <v>208</v>
      </c>
      <c r="P9" s="513" t="s">
        <v>208</v>
      </c>
    </row>
    <row r="10" spans="1:16" ht="32.25" customHeight="1">
      <c r="A10" s="468" t="s">
        <v>543</v>
      </c>
      <c r="B10" s="513">
        <v>8.03</v>
      </c>
      <c r="C10" s="513">
        <v>5</v>
      </c>
      <c r="D10" s="513">
        <v>0</v>
      </c>
      <c r="E10" s="513">
        <v>0</v>
      </c>
      <c r="F10" s="513">
        <v>5</v>
      </c>
      <c r="G10" s="513" t="s">
        <v>208</v>
      </c>
      <c r="H10" s="513" t="s">
        <v>208</v>
      </c>
      <c r="I10" s="513" t="s">
        <v>208</v>
      </c>
      <c r="J10" s="513" t="s">
        <v>208</v>
      </c>
      <c r="K10" s="513" t="s">
        <v>208</v>
      </c>
      <c r="L10" s="513" t="s">
        <v>208</v>
      </c>
      <c r="M10" s="513" t="s">
        <v>208</v>
      </c>
      <c r="N10" s="513" t="s">
        <v>208</v>
      </c>
      <c r="O10" s="513" t="s">
        <v>208</v>
      </c>
      <c r="P10" s="513" t="s">
        <v>208</v>
      </c>
    </row>
    <row r="11" spans="1:16" ht="32.25" customHeight="1">
      <c r="A11" s="468" t="s">
        <v>544</v>
      </c>
      <c r="B11" s="513">
        <v>6.1</v>
      </c>
      <c r="C11" s="513">
        <v>4.2</v>
      </c>
      <c r="D11" s="513">
        <v>0</v>
      </c>
      <c r="E11" s="513">
        <v>2</v>
      </c>
      <c r="F11" s="513">
        <v>3</v>
      </c>
      <c r="G11" s="513" t="s">
        <v>208</v>
      </c>
      <c r="H11" s="513" t="s">
        <v>208</v>
      </c>
      <c r="I11" s="513" t="s">
        <v>208</v>
      </c>
      <c r="J11" s="513" t="s">
        <v>208</v>
      </c>
      <c r="K11" s="513" t="s">
        <v>208</v>
      </c>
      <c r="L11" s="513" t="s">
        <v>208</v>
      </c>
      <c r="M11" s="513" t="s">
        <v>208</v>
      </c>
      <c r="N11" s="513" t="s">
        <v>208</v>
      </c>
      <c r="O11" s="513" t="s">
        <v>208</v>
      </c>
      <c r="P11" s="513" t="s">
        <v>208</v>
      </c>
    </row>
    <row r="12" spans="1:16" ht="32.25" customHeight="1">
      <c r="A12" s="468" t="s">
        <v>545</v>
      </c>
      <c r="B12" s="513">
        <v>6.18</v>
      </c>
      <c r="C12" s="513">
        <v>6.11</v>
      </c>
      <c r="D12" s="513">
        <v>0.44</v>
      </c>
      <c r="E12" s="513">
        <v>0</v>
      </c>
      <c r="F12" s="513">
        <v>1.61</v>
      </c>
      <c r="G12" s="513" t="s">
        <v>208</v>
      </c>
      <c r="H12" s="513" t="s">
        <v>208</v>
      </c>
      <c r="I12" s="513" t="s">
        <v>208</v>
      </c>
      <c r="J12" s="513" t="s">
        <v>208</v>
      </c>
      <c r="K12" s="513" t="s">
        <v>208</v>
      </c>
      <c r="L12" s="513" t="s">
        <v>208</v>
      </c>
      <c r="M12" s="513" t="s">
        <v>208</v>
      </c>
      <c r="N12" s="513" t="s">
        <v>208</v>
      </c>
      <c r="O12" s="513" t="s">
        <v>208</v>
      </c>
      <c r="P12" s="513" t="s">
        <v>208</v>
      </c>
    </row>
    <row r="13" spans="1:16" ht="32.25" customHeight="1">
      <c r="A13" s="468" t="s">
        <v>546</v>
      </c>
      <c r="B13" s="513">
        <v>6.8</v>
      </c>
      <c r="C13" s="513">
        <v>0.2</v>
      </c>
      <c r="D13" s="513">
        <v>2</v>
      </c>
      <c r="E13" s="513">
        <v>0</v>
      </c>
      <c r="F13" s="513">
        <v>2.7</v>
      </c>
      <c r="G13" s="513" t="s">
        <v>208</v>
      </c>
      <c r="H13" s="513" t="s">
        <v>208</v>
      </c>
      <c r="I13" s="513" t="s">
        <v>208</v>
      </c>
      <c r="J13" s="513" t="s">
        <v>208</v>
      </c>
      <c r="K13" s="513" t="s">
        <v>208</v>
      </c>
      <c r="L13" s="513" t="s">
        <v>208</v>
      </c>
      <c r="M13" s="513" t="s">
        <v>208</v>
      </c>
      <c r="N13" s="513" t="s">
        <v>208</v>
      </c>
      <c r="O13" s="513" t="s">
        <v>208</v>
      </c>
      <c r="P13" s="513" t="s">
        <v>208</v>
      </c>
    </row>
    <row r="14" spans="1:16" s="79" customFormat="1" ht="32.25" customHeight="1">
      <c r="A14" s="468" t="s">
        <v>547</v>
      </c>
      <c r="B14" s="513">
        <v>6.35</v>
      </c>
      <c r="C14" s="513">
        <v>4</v>
      </c>
      <c r="D14" s="513">
        <v>3</v>
      </c>
      <c r="E14" s="513">
        <v>1</v>
      </c>
      <c r="F14" s="513">
        <v>1.5</v>
      </c>
      <c r="G14" s="513">
        <v>28</v>
      </c>
      <c r="H14" s="513">
        <v>126</v>
      </c>
      <c r="I14" s="513">
        <v>28.5</v>
      </c>
      <c r="J14" s="513">
        <v>32.5</v>
      </c>
      <c r="K14" s="513">
        <v>1.5</v>
      </c>
      <c r="L14" s="513">
        <v>62.04</v>
      </c>
      <c r="M14" s="513">
        <v>6</v>
      </c>
      <c r="N14" s="513">
        <v>4.5</v>
      </c>
      <c r="O14" s="513">
        <v>0</v>
      </c>
      <c r="P14" s="513">
        <v>36.71</v>
      </c>
    </row>
    <row r="15" spans="1:24" ht="32.25" customHeight="1">
      <c r="A15" s="468" t="s">
        <v>1020</v>
      </c>
      <c r="B15" s="513">
        <v>6.65</v>
      </c>
      <c r="C15" s="513">
        <v>4.1</v>
      </c>
      <c r="D15" s="513">
        <v>1</v>
      </c>
      <c r="E15" s="513">
        <v>1</v>
      </c>
      <c r="F15" s="513">
        <v>1.3</v>
      </c>
      <c r="G15" s="513">
        <v>6.98</v>
      </c>
      <c r="H15" s="513">
        <v>164.1</v>
      </c>
      <c r="I15" s="513">
        <v>31</v>
      </c>
      <c r="J15" s="513">
        <v>7</v>
      </c>
      <c r="K15" s="513">
        <v>14.55</v>
      </c>
      <c r="L15" s="513">
        <v>56.230000000000004</v>
      </c>
      <c r="M15" s="513">
        <v>6</v>
      </c>
      <c r="N15" s="513">
        <v>4</v>
      </c>
      <c r="O15" s="513">
        <v>0</v>
      </c>
      <c r="P15" s="513">
        <v>49.459999999999994</v>
      </c>
      <c r="Q15" s="469"/>
      <c r="R15" s="469"/>
      <c r="S15" s="469"/>
      <c r="T15" s="469"/>
      <c r="U15" s="469"/>
      <c r="V15" s="469"/>
      <c r="W15" s="469"/>
      <c r="X15" s="469"/>
    </row>
    <row r="16" spans="1:16" ht="32.25" customHeight="1">
      <c r="A16" s="468" t="s">
        <v>1209</v>
      </c>
      <c r="B16" s="513">
        <f>B17+B25+B28</f>
        <v>12.25</v>
      </c>
      <c r="C16" s="513">
        <f>C17+C25+C28</f>
        <v>2</v>
      </c>
      <c r="D16" s="513">
        <f aca="true" t="shared" si="0" ref="D16:P16">D17+D25+D28</f>
        <v>1</v>
      </c>
      <c r="E16" s="516">
        <f t="shared" si="0"/>
        <v>0</v>
      </c>
      <c r="F16" s="516">
        <f t="shared" si="0"/>
        <v>0</v>
      </c>
      <c r="G16" s="513">
        <f t="shared" si="0"/>
        <v>21.67</v>
      </c>
      <c r="H16" s="513">
        <f t="shared" si="0"/>
        <v>183</v>
      </c>
      <c r="I16" s="513">
        <f t="shared" si="0"/>
        <v>50</v>
      </c>
      <c r="J16" s="513">
        <f t="shared" si="0"/>
        <v>17</v>
      </c>
      <c r="K16" s="513">
        <f t="shared" si="0"/>
        <v>7</v>
      </c>
      <c r="L16" s="513">
        <f t="shared" si="0"/>
        <v>41.8</v>
      </c>
      <c r="M16" s="513">
        <f t="shared" si="0"/>
        <v>5</v>
      </c>
      <c r="N16" s="513">
        <f t="shared" si="0"/>
        <v>7</v>
      </c>
      <c r="O16" s="513">
        <f t="shared" si="0"/>
        <v>0</v>
      </c>
      <c r="P16" s="513">
        <f t="shared" si="0"/>
        <v>26</v>
      </c>
    </row>
    <row r="17" spans="1:16" ht="33" customHeight="1">
      <c r="A17" s="468" t="s">
        <v>552</v>
      </c>
      <c r="B17" s="508">
        <f>SUM(B18:B23)</f>
        <v>9.25</v>
      </c>
      <c r="C17" s="508">
        <f aca="true" t="shared" si="1" ref="C17:P17">SUM(C18:C23)</f>
        <v>1</v>
      </c>
      <c r="D17" s="508">
        <f t="shared" si="1"/>
        <v>1</v>
      </c>
      <c r="E17" s="508">
        <f t="shared" si="1"/>
        <v>0</v>
      </c>
      <c r="F17" s="508">
        <f t="shared" si="1"/>
        <v>0</v>
      </c>
      <c r="G17" s="508">
        <f t="shared" si="1"/>
        <v>13.67</v>
      </c>
      <c r="H17" s="508">
        <f t="shared" si="1"/>
        <v>57</v>
      </c>
      <c r="I17" s="508">
        <f t="shared" si="1"/>
        <v>50</v>
      </c>
      <c r="J17" s="508">
        <f t="shared" si="1"/>
        <v>0</v>
      </c>
      <c r="K17" s="508">
        <f>SUM(K18:K23)</f>
        <v>7</v>
      </c>
      <c r="L17" s="508">
        <f>SUM(L18:L23)</f>
        <v>41.8</v>
      </c>
      <c r="M17" s="508">
        <f>SUM(M18:M23)</f>
        <v>5</v>
      </c>
      <c r="N17" s="508">
        <f>SUM(N18:N23)</f>
        <v>7</v>
      </c>
      <c r="O17" s="508">
        <f>SUM(O18:O23)</f>
        <v>0</v>
      </c>
      <c r="P17" s="508">
        <f t="shared" si="1"/>
        <v>26</v>
      </c>
    </row>
    <row r="18" spans="1:16" ht="11.25" customHeight="1">
      <c r="A18" s="470" t="s">
        <v>1057</v>
      </c>
      <c r="B18" s="508"/>
      <c r="C18" s="517"/>
      <c r="D18" s="517"/>
      <c r="E18" s="517"/>
      <c r="F18" s="517"/>
      <c r="G18" s="517"/>
      <c r="H18" s="517"/>
      <c r="I18" s="517"/>
      <c r="J18" s="517"/>
      <c r="K18" s="518"/>
      <c r="L18" s="517"/>
      <c r="M18" s="517"/>
      <c r="N18" s="517"/>
      <c r="O18" s="517"/>
      <c r="P18" s="508"/>
    </row>
    <row r="19" spans="1:16" ht="33" customHeight="1">
      <c r="A19" s="468" t="s">
        <v>1058</v>
      </c>
      <c r="B19" s="508">
        <v>7.3</v>
      </c>
      <c r="C19" s="508">
        <v>1</v>
      </c>
      <c r="D19" s="508">
        <v>1</v>
      </c>
      <c r="E19" s="519">
        <v>0</v>
      </c>
      <c r="F19" s="515">
        <v>0</v>
      </c>
      <c r="G19" s="508">
        <v>0</v>
      </c>
      <c r="H19" s="508">
        <v>0</v>
      </c>
      <c r="I19" s="508">
        <v>0</v>
      </c>
      <c r="J19" s="508">
        <v>0</v>
      </c>
      <c r="K19" s="508">
        <v>0</v>
      </c>
      <c r="L19" s="508">
        <v>41.8</v>
      </c>
      <c r="M19" s="508">
        <v>5</v>
      </c>
      <c r="N19" s="508">
        <v>7</v>
      </c>
      <c r="O19" s="508">
        <v>0</v>
      </c>
      <c r="P19" s="508">
        <v>26</v>
      </c>
    </row>
    <row r="20" spans="1:16" ht="11.25" customHeight="1">
      <c r="A20" s="468" t="s">
        <v>1059</v>
      </c>
      <c r="B20" s="508"/>
      <c r="C20" s="517"/>
      <c r="D20" s="517"/>
      <c r="E20" s="517"/>
      <c r="F20" s="517"/>
      <c r="G20" s="508"/>
      <c r="H20" s="508"/>
      <c r="I20" s="508"/>
      <c r="J20" s="508"/>
      <c r="K20" s="508"/>
      <c r="L20" s="517"/>
      <c r="M20" s="517"/>
      <c r="N20" s="517"/>
      <c r="O20" s="517"/>
      <c r="P20" s="508"/>
    </row>
    <row r="21" spans="1:16" ht="33" customHeight="1">
      <c r="A21" s="468" t="s">
        <v>1060</v>
      </c>
      <c r="B21" s="508">
        <v>1.95</v>
      </c>
      <c r="C21" s="508">
        <v>0</v>
      </c>
      <c r="D21" s="508">
        <v>0</v>
      </c>
      <c r="E21" s="508">
        <v>0</v>
      </c>
      <c r="F21" s="508">
        <v>0</v>
      </c>
      <c r="G21" s="508">
        <v>1.67</v>
      </c>
      <c r="H21" s="508">
        <v>0</v>
      </c>
      <c r="I21" s="508">
        <v>0</v>
      </c>
      <c r="J21" s="508">
        <v>0</v>
      </c>
      <c r="K21" s="508">
        <v>0</v>
      </c>
      <c r="L21" s="508">
        <v>0</v>
      </c>
      <c r="M21" s="508">
        <v>0</v>
      </c>
      <c r="N21" s="508">
        <v>0</v>
      </c>
      <c r="O21" s="508">
        <v>0</v>
      </c>
      <c r="P21" s="508">
        <v>0</v>
      </c>
    </row>
    <row r="22" spans="1:16" ht="11.25" customHeight="1">
      <c r="A22" s="468" t="s">
        <v>1061</v>
      </c>
      <c r="B22" s="508"/>
      <c r="C22" s="508"/>
      <c r="D22" s="508"/>
      <c r="E22" s="508"/>
      <c r="F22" s="508"/>
      <c r="G22" s="508"/>
      <c r="H22" s="508"/>
      <c r="I22" s="508"/>
      <c r="J22" s="508"/>
      <c r="K22" s="508"/>
      <c r="L22" s="508"/>
      <c r="M22" s="508"/>
      <c r="N22" s="508"/>
      <c r="O22" s="508"/>
      <c r="P22" s="508"/>
    </row>
    <row r="23" spans="1:16" ht="33" customHeight="1">
      <c r="A23" s="468" t="s">
        <v>1249</v>
      </c>
      <c r="B23" s="508">
        <v>0</v>
      </c>
      <c r="C23" s="508">
        <v>0</v>
      </c>
      <c r="D23" s="508">
        <v>0</v>
      </c>
      <c r="E23" s="508">
        <v>0</v>
      </c>
      <c r="F23" s="508">
        <v>0</v>
      </c>
      <c r="G23" s="508">
        <v>12</v>
      </c>
      <c r="H23" s="508">
        <v>57</v>
      </c>
      <c r="I23" s="508">
        <v>50</v>
      </c>
      <c r="J23" s="508">
        <v>0</v>
      </c>
      <c r="K23" s="508">
        <v>7</v>
      </c>
      <c r="L23" s="508">
        <v>0</v>
      </c>
      <c r="M23" s="508">
        <v>0</v>
      </c>
      <c r="N23" s="508">
        <v>0</v>
      </c>
      <c r="O23" s="508">
        <v>0</v>
      </c>
      <c r="P23" s="508">
        <v>0</v>
      </c>
    </row>
    <row r="24" spans="1:16" ht="11.25" customHeight="1">
      <c r="A24" s="468" t="s">
        <v>1062</v>
      </c>
      <c r="B24" s="508"/>
      <c r="C24" s="508"/>
      <c r="D24" s="508"/>
      <c r="E24" s="508"/>
      <c r="F24" s="508"/>
      <c r="G24" s="508"/>
      <c r="H24" s="508"/>
      <c r="I24" s="508"/>
      <c r="J24" s="508"/>
      <c r="K24" s="508"/>
      <c r="L24" s="508"/>
      <c r="M24" s="508"/>
      <c r="N24" s="508"/>
      <c r="O24" s="508"/>
      <c r="P24" s="508"/>
    </row>
    <row r="25" spans="1:16" ht="33" customHeight="1">
      <c r="A25" s="468" t="s">
        <v>1063</v>
      </c>
      <c r="B25" s="508">
        <v>0</v>
      </c>
      <c r="C25" s="508">
        <v>0</v>
      </c>
      <c r="D25" s="508">
        <v>0</v>
      </c>
      <c r="E25" s="508">
        <v>0</v>
      </c>
      <c r="F25" s="508">
        <v>0</v>
      </c>
      <c r="G25" s="508">
        <v>0</v>
      </c>
      <c r="H25" s="508">
        <v>0</v>
      </c>
      <c r="I25" s="508">
        <v>0</v>
      </c>
      <c r="J25" s="508">
        <v>0</v>
      </c>
      <c r="K25" s="508">
        <v>0</v>
      </c>
      <c r="L25" s="508">
        <v>0</v>
      </c>
      <c r="M25" s="508">
        <v>0</v>
      </c>
      <c r="N25" s="508">
        <v>0</v>
      </c>
      <c r="O25" s="508">
        <v>0</v>
      </c>
      <c r="P25" s="508">
        <v>0</v>
      </c>
    </row>
    <row r="26" spans="1:16" ht="11.25" customHeight="1">
      <c r="A26" s="468" t="s">
        <v>1064</v>
      </c>
      <c r="B26" s="508"/>
      <c r="C26" s="508"/>
      <c r="D26" s="508"/>
      <c r="E26" s="508"/>
      <c r="F26" s="508"/>
      <c r="G26" s="508"/>
      <c r="H26" s="508"/>
      <c r="I26" s="508"/>
      <c r="J26" s="508"/>
      <c r="K26" s="508"/>
      <c r="L26" s="508"/>
      <c r="M26" s="508"/>
      <c r="N26" s="508"/>
      <c r="O26" s="508"/>
      <c r="P26" s="508"/>
    </row>
    <row r="27" spans="1:16" ht="11.25" customHeight="1">
      <c r="A27" s="468" t="s">
        <v>1065</v>
      </c>
      <c r="B27" s="508"/>
      <c r="C27" s="508"/>
      <c r="D27" s="508"/>
      <c r="E27" s="508"/>
      <c r="F27" s="518"/>
      <c r="G27" s="508"/>
      <c r="H27" s="508"/>
      <c r="I27" s="508"/>
      <c r="J27" s="508"/>
      <c r="K27" s="508"/>
      <c r="L27" s="508"/>
      <c r="M27" s="508"/>
      <c r="N27" s="508"/>
      <c r="O27" s="508"/>
      <c r="P27" s="508"/>
    </row>
    <row r="28" spans="1:16" ht="33" customHeight="1">
      <c r="A28" s="468" t="s">
        <v>1250</v>
      </c>
      <c r="B28" s="508">
        <v>3</v>
      </c>
      <c r="C28" s="508">
        <v>1</v>
      </c>
      <c r="D28" s="508">
        <v>0</v>
      </c>
      <c r="E28" s="508">
        <v>0</v>
      </c>
      <c r="F28" s="508">
        <v>0</v>
      </c>
      <c r="G28" s="508">
        <v>8</v>
      </c>
      <c r="H28" s="508">
        <v>126</v>
      </c>
      <c r="I28" s="508">
        <v>0</v>
      </c>
      <c r="J28" s="508">
        <v>17</v>
      </c>
      <c r="K28" s="508">
        <v>0</v>
      </c>
      <c r="L28" s="508">
        <v>0</v>
      </c>
      <c r="M28" s="508">
        <v>0</v>
      </c>
      <c r="N28" s="508">
        <v>0</v>
      </c>
      <c r="O28" s="508">
        <v>0</v>
      </c>
      <c r="P28" s="508">
        <v>0</v>
      </c>
    </row>
    <row r="29" spans="1:16" ht="11.25" customHeight="1">
      <c r="A29" s="468" t="s">
        <v>1246</v>
      </c>
      <c r="B29" s="142"/>
      <c r="C29" s="142"/>
      <c r="D29" s="142"/>
      <c r="E29" s="142"/>
      <c r="F29" s="142"/>
      <c r="G29" s="142"/>
      <c r="H29" s="142"/>
      <c r="I29" s="142"/>
      <c r="J29" s="142"/>
      <c r="K29" s="126"/>
      <c r="L29" s="126"/>
      <c r="M29" s="126"/>
      <c r="N29" s="126"/>
      <c r="O29" s="126"/>
      <c r="P29" s="126"/>
    </row>
    <row r="30" spans="1:16" ht="11.25" customHeight="1" thickBot="1">
      <c r="A30" s="471" t="s">
        <v>1210</v>
      </c>
      <c r="B30" s="472"/>
      <c r="C30" s="472"/>
      <c r="D30" s="472"/>
      <c r="E30" s="472"/>
      <c r="F30" s="472"/>
      <c r="G30" s="472"/>
      <c r="H30" s="472"/>
      <c r="I30" s="472"/>
      <c r="J30" s="472"/>
      <c r="K30" s="472"/>
      <c r="L30" s="472"/>
      <c r="M30" s="472"/>
      <c r="N30" s="472"/>
      <c r="O30" s="472"/>
      <c r="P30" s="472"/>
    </row>
    <row r="31" spans="1:11" s="218" customFormat="1" ht="12.75">
      <c r="A31" s="175" t="s">
        <v>1088</v>
      </c>
      <c r="B31" s="175"/>
      <c r="C31" s="175"/>
      <c r="D31" s="175"/>
      <c r="E31" s="175"/>
      <c r="F31" s="175"/>
      <c r="G31" s="175"/>
      <c r="H31" s="184" t="s">
        <v>1066</v>
      </c>
      <c r="I31" s="175"/>
      <c r="J31" s="175"/>
      <c r="K31" s="175"/>
    </row>
    <row r="32" s="218" customFormat="1" ht="12.75"/>
    <row r="33" s="218" customFormat="1" ht="12.75"/>
    <row r="34" s="218" customFormat="1" ht="12.75"/>
    <row r="35" s="218" customFormat="1" ht="12.75"/>
    <row r="36" s="218" customFormat="1" ht="12.75"/>
    <row r="37" s="218" customFormat="1" ht="12.75"/>
    <row r="38" s="218" customFormat="1" ht="12.75"/>
    <row r="39" s="218" customFormat="1" ht="12.75"/>
    <row r="40" s="218" customFormat="1" ht="12.75"/>
    <row r="41" s="218" customFormat="1" ht="12.75"/>
    <row r="42" s="218" customFormat="1" ht="12.75"/>
  </sheetData>
  <sheetProtection/>
  <mergeCells count="6">
    <mergeCell ref="A4:A6"/>
    <mergeCell ref="B4:F4"/>
    <mergeCell ref="G4:K4"/>
    <mergeCell ref="L4:P4"/>
    <mergeCell ref="A2:G2"/>
    <mergeCell ref="H2:P2"/>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colBreaks count="1" manualBreakCount="1">
    <brk id="7" max="44" man="1"/>
  </colBreaks>
</worksheet>
</file>

<file path=xl/worksheets/sheet32.xml><?xml version="1.0" encoding="utf-8"?>
<worksheet xmlns="http://schemas.openxmlformats.org/spreadsheetml/2006/main" xmlns:r="http://schemas.openxmlformats.org/officeDocument/2006/relationships">
  <dimension ref="A1:U22"/>
  <sheetViews>
    <sheetView showGridLines="0" view="pageBreakPreview" zoomScale="55" zoomScaleNormal="120" zoomScaleSheetLayoutView="55"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6.5"/>
  <cols>
    <col min="1" max="1" width="10.625" style="11" customWidth="1"/>
    <col min="2" max="2" width="11.625" style="11" customWidth="1"/>
    <col min="3" max="8" width="10.625" style="11" customWidth="1"/>
    <col min="9" max="14" width="10.875" style="11" customWidth="1"/>
    <col min="15" max="15" width="11.875" style="11" customWidth="1"/>
    <col min="16" max="16" width="10.875" style="11" customWidth="1"/>
    <col min="17" max="16384" width="9.00390625" style="11" customWidth="1"/>
  </cols>
  <sheetData>
    <row r="1" spans="1:16" ht="18" customHeight="1">
      <c r="A1" s="1" t="s">
        <v>1077</v>
      </c>
      <c r="P1" s="12" t="s">
        <v>245</v>
      </c>
    </row>
    <row r="2" spans="1:16" s="153" customFormat="1" ht="24.75" customHeight="1">
      <c r="A2" s="990" t="s">
        <v>1081</v>
      </c>
      <c r="B2" s="990"/>
      <c r="C2" s="990"/>
      <c r="D2" s="990"/>
      <c r="E2" s="990"/>
      <c r="F2" s="990"/>
      <c r="G2" s="990"/>
      <c r="H2" s="990"/>
      <c r="I2" s="990" t="s">
        <v>390</v>
      </c>
      <c r="J2" s="990"/>
      <c r="K2" s="990"/>
      <c r="L2" s="990"/>
      <c r="M2" s="990"/>
      <c r="N2" s="990"/>
      <c r="O2" s="990"/>
      <c r="P2" s="990"/>
    </row>
    <row r="3" ht="15" customHeight="1" thickBot="1">
      <c r="K3" s="31"/>
    </row>
    <row r="4" spans="1:17" ht="21.75" customHeight="1">
      <c r="A4" s="991" t="s">
        <v>483</v>
      </c>
      <c r="B4" s="993" t="s">
        <v>520</v>
      </c>
      <c r="C4" s="994" t="s">
        <v>485</v>
      </c>
      <c r="D4" s="995"/>
      <c r="E4" s="995"/>
      <c r="F4" s="995"/>
      <c r="G4" s="995"/>
      <c r="H4" s="995"/>
      <c r="I4" s="995" t="s">
        <v>391</v>
      </c>
      <c r="J4" s="995"/>
      <c r="K4" s="995"/>
      <c r="L4" s="995"/>
      <c r="M4" s="995"/>
      <c r="N4" s="995"/>
      <c r="O4" s="995"/>
      <c r="P4" s="995"/>
      <c r="Q4" s="14"/>
    </row>
    <row r="5" spans="1:17" ht="21.75" customHeight="1">
      <c r="A5" s="992"/>
      <c r="B5" s="986"/>
      <c r="C5" s="996" t="s">
        <v>488</v>
      </c>
      <c r="D5" s="996"/>
      <c r="E5" s="996"/>
      <c r="F5" s="997"/>
      <c r="G5" s="998" t="s">
        <v>521</v>
      </c>
      <c r="H5" s="996"/>
      <c r="I5" s="996" t="s">
        <v>392</v>
      </c>
      <c r="J5" s="996"/>
      <c r="K5" s="996"/>
      <c r="L5" s="996"/>
      <c r="M5" s="996"/>
      <c r="N5" s="996"/>
      <c r="O5" s="996"/>
      <c r="P5" s="996"/>
      <c r="Q5" s="14"/>
    </row>
    <row r="6" spans="1:17" ht="21.75" customHeight="1">
      <c r="A6" s="1000" t="s">
        <v>216</v>
      </c>
      <c r="B6" s="985" t="s">
        <v>393</v>
      </c>
      <c r="C6" s="988" t="s">
        <v>394</v>
      </c>
      <c r="D6" s="988"/>
      <c r="E6" s="988"/>
      <c r="F6" s="989"/>
      <c r="G6" s="999"/>
      <c r="H6" s="988"/>
      <c r="I6" s="988"/>
      <c r="J6" s="988"/>
      <c r="K6" s="988"/>
      <c r="L6" s="988"/>
      <c r="M6" s="988"/>
      <c r="N6" s="988"/>
      <c r="O6" s="988"/>
      <c r="P6" s="988"/>
      <c r="Q6" s="14"/>
    </row>
    <row r="7" spans="1:17" ht="21.75" customHeight="1">
      <c r="A7" s="1000"/>
      <c r="B7" s="986"/>
      <c r="C7" s="17" t="s">
        <v>494</v>
      </c>
      <c r="D7" s="16" t="s">
        <v>495</v>
      </c>
      <c r="E7" s="16" t="s">
        <v>496</v>
      </c>
      <c r="F7" s="16" t="s">
        <v>497</v>
      </c>
      <c r="G7" s="16" t="s">
        <v>522</v>
      </c>
      <c r="H7" s="16" t="s">
        <v>523</v>
      </c>
      <c r="I7" s="17" t="s">
        <v>524</v>
      </c>
      <c r="J7" s="16" t="s">
        <v>525</v>
      </c>
      <c r="K7" s="16" t="s">
        <v>526</v>
      </c>
      <c r="L7" s="17" t="s">
        <v>527</v>
      </c>
      <c r="M7" s="16" t="s">
        <v>528</v>
      </c>
      <c r="N7" s="16" t="s">
        <v>529</v>
      </c>
      <c r="O7" s="16" t="s">
        <v>530</v>
      </c>
      <c r="P7" s="18" t="s">
        <v>531</v>
      </c>
      <c r="Q7" s="14"/>
    </row>
    <row r="8" spans="1:17" s="19" customFormat="1" ht="21.75" customHeight="1" thickBot="1">
      <c r="A8" s="1001"/>
      <c r="B8" s="987"/>
      <c r="C8" s="32" t="s">
        <v>395</v>
      </c>
      <c r="D8" s="20" t="s">
        <v>396</v>
      </c>
      <c r="E8" s="20" t="s">
        <v>397</v>
      </c>
      <c r="F8" s="20" t="s">
        <v>398</v>
      </c>
      <c r="G8" s="20" t="s">
        <v>399</v>
      </c>
      <c r="H8" s="20" t="s">
        <v>400</v>
      </c>
      <c r="I8" s="32" t="s">
        <v>401</v>
      </c>
      <c r="J8" s="20" t="s">
        <v>402</v>
      </c>
      <c r="K8" s="20" t="s">
        <v>403</v>
      </c>
      <c r="L8" s="20" t="s">
        <v>404</v>
      </c>
      <c r="M8" s="20" t="s">
        <v>405</v>
      </c>
      <c r="N8" s="20" t="s">
        <v>406</v>
      </c>
      <c r="O8" s="20" t="s">
        <v>407</v>
      </c>
      <c r="P8" s="36" t="s">
        <v>398</v>
      </c>
      <c r="Q8" s="13"/>
    </row>
    <row r="9" spans="1:16" s="24" customFormat="1" ht="60" customHeight="1">
      <c r="A9" s="38" t="s">
        <v>532</v>
      </c>
      <c r="B9" s="39">
        <v>1108</v>
      </c>
      <c r="C9" s="34">
        <v>945</v>
      </c>
      <c r="D9" s="34">
        <v>49</v>
      </c>
      <c r="E9" s="34">
        <v>871</v>
      </c>
      <c r="F9" s="39">
        <v>25</v>
      </c>
      <c r="G9" s="39">
        <v>34</v>
      </c>
      <c r="H9" s="39">
        <v>68</v>
      </c>
      <c r="I9" s="39">
        <v>440</v>
      </c>
      <c r="J9" s="34">
        <v>122</v>
      </c>
      <c r="K9" s="39">
        <v>82</v>
      </c>
      <c r="L9" s="39">
        <v>67</v>
      </c>
      <c r="M9" s="34">
        <v>23</v>
      </c>
      <c r="N9" s="34">
        <v>12</v>
      </c>
      <c r="O9" s="34">
        <v>16</v>
      </c>
      <c r="P9" s="39">
        <v>81</v>
      </c>
    </row>
    <row r="10" spans="1:16" ht="60" customHeight="1">
      <c r="A10" s="15" t="s">
        <v>499</v>
      </c>
      <c r="B10" s="40">
        <v>1120</v>
      </c>
      <c r="C10" s="34">
        <v>958</v>
      </c>
      <c r="D10" s="34">
        <v>60</v>
      </c>
      <c r="E10" s="34">
        <v>884</v>
      </c>
      <c r="F10" s="34">
        <v>14</v>
      </c>
      <c r="G10" s="34">
        <v>34</v>
      </c>
      <c r="H10" s="34">
        <v>95</v>
      </c>
      <c r="I10" s="34">
        <v>481</v>
      </c>
      <c r="J10" s="34">
        <v>88</v>
      </c>
      <c r="K10" s="34">
        <v>77</v>
      </c>
      <c r="L10" s="34">
        <v>66</v>
      </c>
      <c r="M10" s="34">
        <v>28</v>
      </c>
      <c r="N10" s="34">
        <v>14</v>
      </c>
      <c r="O10" s="34">
        <v>1</v>
      </c>
      <c r="P10" s="34">
        <v>74</v>
      </c>
    </row>
    <row r="11" spans="1:16" ht="60" customHeight="1">
      <c r="A11" s="15" t="s">
        <v>533</v>
      </c>
      <c r="B11" s="40">
        <v>1233</v>
      </c>
      <c r="C11" s="34">
        <v>1016</v>
      </c>
      <c r="D11" s="34">
        <v>75</v>
      </c>
      <c r="E11" s="34">
        <v>925</v>
      </c>
      <c r="F11" s="34">
        <v>16</v>
      </c>
      <c r="G11" s="34">
        <v>33</v>
      </c>
      <c r="H11" s="34">
        <v>100</v>
      </c>
      <c r="I11" s="34">
        <v>480</v>
      </c>
      <c r="J11" s="34">
        <v>121</v>
      </c>
      <c r="K11" s="34">
        <v>76</v>
      </c>
      <c r="L11" s="34">
        <v>82</v>
      </c>
      <c r="M11" s="34">
        <v>22</v>
      </c>
      <c r="N11" s="34">
        <v>8</v>
      </c>
      <c r="O11" s="34">
        <v>2</v>
      </c>
      <c r="P11" s="34">
        <v>92</v>
      </c>
    </row>
    <row r="12" spans="1:16" ht="60" customHeight="1">
      <c r="A12" s="38" t="s">
        <v>534</v>
      </c>
      <c r="B12" s="34">
        <v>1629</v>
      </c>
      <c r="C12" s="39">
        <v>1307</v>
      </c>
      <c r="D12" s="39">
        <v>125</v>
      </c>
      <c r="E12" s="34">
        <v>1156</v>
      </c>
      <c r="F12" s="34">
        <v>26</v>
      </c>
      <c r="G12" s="34">
        <v>37</v>
      </c>
      <c r="H12" s="34">
        <v>102</v>
      </c>
      <c r="I12" s="39">
        <v>693</v>
      </c>
      <c r="J12" s="34">
        <v>129</v>
      </c>
      <c r="K12" s="34">
        <v>72</v>
      </c>
      <c r="L12" s="34">
        <v>83</v>
      </c>
      <c r="M12" s="34">
        <v>34</v>
      </c>
      <c r="N12" s="34">
        <v>22</v>
      </c>
      <c r="O12" s="34">
        <v>1</v>
      </c>
      <c r="P12" s="34">
        <v>134</v>
      </c>
    </row>
    <row r="13" spans="1:16" ht="60" customHeight="1">
      <c r="A13" s="38" t="s">
        <v>535</v>
      </c>
      <c r="B13" s="34">
        <v>1542</v>
      </c>
      <c r="C13" s="39">
        <v>1252</v>
      </c>
      <c r="D13" s="39">
        <v>97</v>
      </c>
      <c r="E13" s="39">
        <v>1090</v>
      </c>
      <c r="F13" s="34">
        <v>65</v>
      </c>
      <c r="G13" s="34">
        <v>40</v>
      </c>
      <c r="H13" s="34">
        <v>114</v>
      </c>
      <c r="I13" s="39">
        <v>641</v>
      </c>
      <c r="J13" s="34">
        <v>121</v>
      </c>
      <c r="K13" s="34">
        <v>56</v>
      </c>
      <c r="L13" s="34">
        <v>59</v>
      </c>
      <c r="M13" s="34">
        <v>41</v>
      </c>
      <c r="N13" s="34">
        <v>6</v>
      </c>
      <c r="O13" s="34">
        <v>4</v>
      </c>
      <c r="P13" s="34">
        <v>170</v>
      </c>
    </row>
    <row r="14" spans="1:16" s="24" customFormat="1" ht="60" customHeight="1">
      <c r="A14" s="38" t="s">
        <v>536</v>
      </c>
      <c r="B14" s="39">
        <v>1459</v>
      </c>
      <c r="C14" s="39">
        <v>1195</v>
      </c>
      <c r="D14" s="39">
        <v>134</v>
      </c>
      <c r="E14" s="39">
        <v>1016</v>
      </c>
      <c r="F14" s="39">
        <v>45</v>
      </c>
      <c r="G14" s="39">
        <v>29</v>
      </c>
      <c r="H14" s="39">
        <v>79</v>
      </c>
      <c r="I14" s="39">
        <v>602</v>
      </c>
      <c r="J14" s="39">
        <v>122</v>
      </c>
      <c r="K14" s="39">
        <v>71</v>
      </c>
      <c r="L14" s="39">
        <v>76</v>
      </c>
      <c r="M14" s="39">
        <v>36</v>
      </c>
      <c r="N14" s="39">
        <v>17</v>
      </c>
      <c r="O14" s="39" t="s">
        <v>255</v>
      </c>
      <c r="P14" s="39">
        <v>163</v>
      </c>
    </row>
    <row r="15" spans="1:16" s="24" customFormat="1" ht="60" customHeight="1">
      <c r="A15" s="38" t="s">
        <v>537</v>
      </c>
      <c r="B15" s="41">
        <v>1666</v>
      </c>
      <c r="C15" s="41">
        <v>1228</v>
      </c>
      <c r="D15" s="41">
        <v>178</v>
      </c>
      <c r="E15" s="41">
        <v>1001</v>
      </c>
      <c r="F15" s="41">
        <v>49</v>
      </c>
      <c r="G15" s="41">
        <v>30</v>
      </c>
      <c r="H15" s="41">
        <v>103</v>
      </c>
      <c r="I15" s="41">
        <v>680</v>
      </c>
      <c r="J15" s="41">
        <v>134</v>
      </c>
      <c r="K15" s="41">
        <v>59</v>
      </c>
      <c r="L15" s="41">
        <v>71</v>
      </c>
      <c r="M15" s="41">
        <v>27</v>
      </c>
      <c r="N15" s="41">
        <v>21</v>
      </c>
      <c r="O15" s="41">
        <v>3</v>
      </c>
      <c r="P15" s="41">
        <v>100</v>
      </c>
    </row>
    <row r="16" spans="1:16" ht="60" customHeight="1">
      <c r="A16" s="37" t="s">
        <v>538</v>
      </c>
      <c r="B16" s="34">
        <v>1602</v>
      </c>
      <c r="C16" s="34">
        <f>SUM(D16:F16)</f>
        <v>1210</v>
      </c>
      <c r="D16" s="34">
        <v>209</v>
      </c>
      <c r="E16" s="34">
        <v>979</v>
      </c>
      <c r="F16" s="34">
        <v>22</v>
      </c>
      <c r="G16" s="34">
        <v>24</v>
      </c>
      <c r="H16" s="34">
        <v>131</v>
      </c>
      <c r="I16" s="34">
        <v>691</v>
      </c>
      <c r="J16" s="34">
        <v>133</v>
      </c>
      <c r="K16" s="34">
        <v>67</v>
      </c>
      <c r="L16" s="34">
        <v>75</v>
      </c>
      <c r="M16" s="34">
        <v>32</v>
      </c>
      <c r="N16" s="34">
        <v>19</v>
      </c>
      <c r="O16" s="34">
        <v>7</v>
      </c>
      <c r="P16" s="34">
        <v>31</v>
      </c>
    </row>
    <row r="17" spans="1:16" ht="60" customHeight="1">
      <c r="A17" s="37" t="s">
        <v>935</v>
      </c>
      <c r="B17" s="34">
        <v>1255</v>
      </c>
      <c r="C17" s="34">
        <f>SUM(D17:F17)</f>
        <v>980</v>
      </c>
      <c r="D17" s="34">
        <v>159</v>
      </c>
      <c r="E17" s="34">
        <v>786</v>
      </c>
      <c r="F17" s="34">
        <v>35</v>
      </c>
      <c r="G17" s="34">
        <v>21</v>
      </c>
      <c r="H17" s="34">
        <v>94</v>
      </c>
      <c r="I17" s="34">
        <v>593</v>
      </c>
      <c r="J17" s="34">
        <v>101</v>
      </c>
      <c r="K17" s="34">
        <v>44</v>
      </c>
      <c r="L17" s="34">
        <v>61</v>
      </c>
      <c r="M17" s="34">
        <v>36</v>
      </c>
      <c r="N17" s="34">
        <v>11</v>
      </c>
      <c r="O17" s="34">
        <v>1</v>
      </c>
      <c r="P17" s="34">
        <v>18</v>
      </c>
    </row>
    <row r="18" spans="1:16" ht="60" customHeight="1" thickBot="1">
      <c r="A18" s="42" t="s">
        <v>1206</v>
      </c>
      <c r="B18" s="43">
        <v>1278</v>
      </c>
      <c r="C18" s="43">
        <f>SUM(D18:F18)</f>
        <v>960</v>
      </c>
      <c r="D18" s="43">
        <v>158</v>
      </c>
      <c r="E18" s="43">
        <v>781</v>
      </c>
      <c r="F18" s="43">
        <v>21</v>
      </c>
      <c r="G18" s="43">
        <v>29</v>
      </c>
      <c r="H18" s="43">
        <v>87</v>
      </c>
      <c r="I18" s="43">
        <v>536</v>
      </c>
      <c r="J18" s="43">
        <v>110</v>
      </c>
      <c r="K18" s="43">
        <v>61</v>
      </c>
      <c r="L18" s="43">
        <v>65</v>
      </c>
      <c r="M18" s="43">
        <v>43</v>
      </c>
      <c r="N18" s="43">
        <v>12</v>
      </c>
      <c r="O18" s="43">
        <v>2</v>
      </c>
      <c r="P18" s="43">
        <v>15</v>
      </c>
    </row>
    <row r="19" spans="1:21" ht="15" customHeight="1">
      <c r="A19" s="33" t="s">
        <v>1080</v>
      </c>
      <c r="B19" s="34"/>
      <c r="C19" s="34"/>
      <c r="D19" s="34"/>
      <c r="E19" s="34"/>
      <c r="F19" s="34"/>
      <c r="G19" s="34"/>
      <c r="H19" s="34"/>
      <c r="I19" s="35" t="s">
        <v>221</v>
      </c>
      <c r="J19" s="34"/>
      <c r="K19" s="34"/>
      <c r="M19" s="34"/>
      <c r="P19" s="34"/>
      <c r="Q19" s="34"/>
      <c r="R19" s="34"/>
      <c r="S19" s="34"/>
      <c r="T19" s="34"/>
      <c r="U19" s="34"/>
    </row>
    <row r="20" ht="15" customHeight="1">
      <c r="A20" s="30"/>
    </row>
    <row r="21" ht="12.75">
      <c r="A21" s="30"/>
    </row>
    <row r="22" ht="12.75">
      <c r="A22" s="30"/>
    </row>
  </sheetData>
  <sheetProtection/>
  <mergeCells count="12">
    <mergeCell ref="I5:P6"/>
    <mergeCell ref="A6:A8"/>
    <mergeCell ref="B6:B8"/>
    <mergeCell ref="C6:F6"/>
    <mergeCell ref="A2:H2"/>
    <mergeCell ref="I2:P2"/>
    <mergeCell ref="A4:A5"/>
    <mergeCell ref="B4:B5"/>
    <mergeCell ref="C4:H4"/>
    <mergeCell ref="I4:P4"/>
    <mergeCell ref="C5:F5"/>
    <mergeCell ref="G5:H6"/>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ignoredErrors>
    <ignoredError sqref="C16:C17" formulaRange="1"/>
  </ignoredErrors>
  <legacyDrawing r:id="rId2"/>
</worksheet>
</file>

<file path=xl/worksheets/sheet33.xml><?xml version="1.0" encoding="utf-8"?>
<worksheet xmlns="http://schemas.openxmlformats.org/spreadsheetml/2006/main" xmlns:r="http://schemas.openxmlformats.org/officeDocument/2006/relationships">
  <dimension ref="A1:T24"/>
  <sheetViews>
    <sheetView showGridLines="0" view="pageBreakPreview" zoomScale="70" zoomScaleSheetLayoutView="7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A16384"/>
    </sheetView>
  </sheetViews>
  <sheetFormatPr defaultColWidth="9.00390625" defaultRowHeight="16.5"/>
  <cols>
    <col min="1" max="1" width="9.625" style="158" customWidth="1"/>
    <col min="2" max="2" width="7.625" style="11" customWidth="1"/>
    <col min="3" max="3" width="8.625" style="11" customWidth="1"/>
    <col min="4" max="11" width="7.625" style="11" customWidth="1"/>
    <col min="12" max="14" width="8.50390625" style="11" customWidth="1"/>
    <col min="15" max="15" width="8.625" style="11" customWidth="1"/>
    <col min="16" max="17" width="12.625" style="11" customWidth="1"/>
    <col min="18" max="18" width="8.50390625" style="11" customWidth="1"/>
    <col min="19" max="19" width="11.375" style="11" customWidth="1"/>
    <col min="20" max="20" width="8.50390625" style="11" customWidth="1"/>
    <col min="21" max="16384" width="9.00390625" style="11" customWidth="1"/>
  </cols>
  <sheetData>
    <row r="1" spans="1:20" s="158" customFormat="1" ht="18" customHeight="1">
      <c r="A1" s="157" t="s">
        <v>1077</v>
      </c>
      <c r="T1" s="159" t="s">
        <v>242</v>
      </c>
    </row>
    <row r="2" spans="1:20" s="158" customFormat="1" ht="24.75" customHeight="1">
      <c r="A2" s="686" t="s">
        <v>1079</v>
      </c>
      <c r="B2" s="686"/>
      <c r="C2" s="686"/>
      <c r="D2" s="686"/>
      <c r="E2" s="686"/>
      <c r="F2" s="686"/>
      <c r="G2" s="686"/>
      <c r="H2" s="686"/>
      <c r="I2" s="687"/>
      <c r="J2" s="687"/>
      <c r="K2" s="687"/>
      <c r="L2" s="686" t="s">
        <v>408</v>
      </c>
      <c r="M2" s="686"/>
      <c r="N2" s="686"/>
      <c r="O2" s="686"/>
      <c r="P2" s="686"/>
      <c r="Q2" s="686"/>
      <c r="R2" s="686"/>
      <c r="S2" s="686"/>
      <c r="T2" s="686"/>
    </row>
    <row r="3" spans="10:20" s="158" customFormat="1" ht="15" customHeight="1" thickBot="1">
      <c r="J3" s="161"/>
      <c r="K3" s="159" t="s">
        <v>1078</v>
      </c>
      <c r="T3" s="159" t="s">
        <v>409</v>
      </c>
    </row>
    <row r="4" spans="1:20" s="158" customFormat="1" ht="19.5" customHeight="1">
      <c r="A4" s="770" t="s">
        <v>483</v>
      </c>
      <c r="B4" s="1003" t="s">
        <v>484</v>
      </c>
      <c r="C4" s="1004"/>
      <c r="D4" s="1004"/>
      <c r="E4" s="1004"/>
      <c r="F4" s="1004"/>
      <c r="G4" s="1004"/>
      <c r="H4" s="1004"/>
      <c r="I4" s="1004"/>
      <c r="J4" s="1004"/>
      <c r="K4" s="1004"/>
      <c r="L4" s="1004" t="s">
        <v>410</v>
      </c>
      <c r="M4" s="1004"/>
      <c r="N4" s="1004"/>
      <c r="O4" s="1004"/>
      <c r="P4" s="1004"/>
      <c r="Q4" s="1004"/>
      <c r="R4" s="1004"/>
      <c r="S4" s="1004"/>
      <c r="T4" s="1004"/>
    </row>
    <row r="5" spans="1:20" s="158" customFormat="1" ht="18" customHeight="1">
      <c r="A5" s="754"/>
      <c r="B5" s="830" t="s">
        <v>506</v>
      </c>
      <c r="C5" s="836"/>
      <c r="D5" s="836"/>
      <c r="E5" s="836"/>
      <c r="F5" s="831"/>
      <c r="G5" s="834" t="s">
        <v>486</v>
      </c>
      <c r="H5" s="836"/>
      <c r="I5" s="836"/>
      <c r="J5" s="836"/>
      <c r="K5" s="836"/>
      <c r="L5" s="836" t="s">
        <v>411</v>
      </c>
      <c r="M5" s="836"/>
      <c r="N5" s="836"/>
      <c r="O5" s="836"/>
      <c r="P5" s="836"/>
      <c r="Q5" s="836"/>
      <c r="R5" s="836"/>
      <c r="S5" s="836"/>
      <c r="T5" s="836"/>
    </row>
    <row r="6" spans="1:20" s="158" customFormat="1" ht="18" customHeight="1">
      <c r="A6" s="754"/>
      <c r="B6" s="827" t="s">
        <v>412</v>
      </c>
      <c r="C6" s="579"/>
      <c r="D6" s="579"/>
      <c r="E6" s="579"/>
      <c r="F6" s="828"/>
      <c r="G6" s="829"/>
      <c r="H6" s="579"/>
      <c r="I6" s="579"/>
      <c r="J6" s="579"/>
      <c r="K6" s="579"/>
      <c r="L6" s="579"/>
      <c r="M6" s="579"/>
      <c r="N6" s="579"/>
      <c r="O6" s="579"/>
      <c r="P6" s="579"/>
      <c r="Q6" s="579"/>
      <c r="R6" s="579"/>
      <c r="S6" s="579"/>
      <c r="T6" s="579"/>
    </row>
    <row r="7" spans="1:20" s="158" customFormat="1" ht="19.5" customHeight="1">
      <c r="A7" s="754"/>
      <c r="B7" s="681" t="s">
        <v>507</v>
      </c>
      <c r="C7" s="681" t="s">
        <v>508</v>
      </c>
      <c r="D7" s="681" t="s">
        <v>509</v>
      </c>
      <c r="E7" s="681" t="s">
        <v>510</v>
      </c>
      <c r="F7" s="681" t="s">
        <v>493</v>
      </c>
      <c r="G7" s="681" t="s">
        <v>507</v>
      </c>
      <c r="H7" s="696" t="s">
        <v>511</v>
      </c>
      <c r="I7" s="697"/>
      <c r="J7" s="692"/>
      <c r="K7" s="681" t="s">
        <v>512</v>
      </c>
      <c r="L7" s="692" t="s">
        <v>513</v>
      </c>
      <c r="M7" s="681"/>
      <c r="N7" s="681"/>
      <c r="O7" s="681"/>
      <c r="P7" s="681"/>
      <c r="Q7" s="681"/>
      <c r="R7" s="681"/>
      <c r="S7" s="681"/>
      <c r="T7" s="681"/>
    </row>
    <row r="8" spans="1:20" s="158" customFormat="1" ht="19.5" customHeight="1">
      <c r="A8" s="683" t="s">
        <v>413</v>
      </c>
      <c r="B8" s="725"/>
      <c r="C8" s="725"/>
      <c r="D8" s="725"/>
      <c r="E8" s="725"/>
      <c r="F8" s="725"/>
      <c r="G8" s="725"/>
      <c r="H8" s="710" t="s">
        <v>414</v>
      </c>
      <c r="I8" s="699"/>
      <c r="J8" s="700"/>
      <c r="K8" s="725"/>
      <c r="L8" s="679" t="s">
        <v>415</v>
      </c>
      <c r="M8" s="744"/>
      <c r="N8" s="725"/>
      <c r="O8" s="725"/>
      <c r="P8" s="725"/>
      <c r="Q8" s="725"/>
      <c r="R8" s="725"/>
      <c r="S8" s="725"/>
      <c r="T8" s="725"/>
    </row>
    <row r="9" spans="1:20" s="173" customFormat="1" ht="30" customHeight="1">
      <c r="A9" s="683"/>
      <c r="B9" s="727" t="s">
        <v>416</v>
      </c>
      <c r="C9" s="852" t="s">
        <v>417</v>
      </c>
      <c r="D9" s="852" t="s">
        <v>418</v>
      </c>
      <c r="E9" s="852" t="s">
        <v>419</v>
      </c>
      <c r="F9" s="852" t="s">
        <v>420</v>
      </c>
      <c r="G9" s="852" t="s">
        <v>416</v>
      </c>
      <c r="H9" s="156" t="s">
        <v>489</v>
      </c>
      <c r="I9" s="156" t="s">
        <v>514</v>
      </c>
      <c r="J9" s="156" t="s">
        <v>515</v>
      </c>
      <c r="K9" s="725" t="s">
        <v>421</v>
      </c>
      <c r="L9" s="239" t="s">
        <v>489</v>
      </c>
      <c r="M9" s="240" t="s">
        <v>516</v>
      </c>
      <c r="N9" s="156" t="s">
        <v>517</v>
      </c>
      <c r="O9" s="156" t="s">
        <v>518</v>
      </c>
      <c r="P9" s="156" t="s">
        <v>490</v>
      </c>
      <c r="Q9" s="156" t="s">
        <v>491</v>
      </c>
      <c r="R9" s="156" t="s">
        <v>492</v>
      </c>
      <c r="S9" s="156" t="s">
        <v>519</v>
      </c>
      <c r="T9" s="156" t="s">
        <v>493</v>
      </c>
    </row>
    <row r="10" spans="1:20" s="173" customFormat="1" ht="69.75" customHeight="1" thickBot="1">
      <c r="A10" s="684"/>
      <c r="B10" s="728"/>
      <c r="C10" s="1002"/>
      <c r="D10" s="1002"/>
      <c r="E10" s="1002"/>
      <c r="F10" s="1002"/>
      <c r="G10" s="1002"/>
      <c r="H10" s="170" t="s">
        <v>447</v>
      </c>
      <c r="I10" s="168" t="s">
        <v>422</v>
      </c>
      <c r="J10" s="168" t="s">
        <v>423</v>
      </c>
      <c r="K10" s="729"/>
      <c r="L10" s="170" t="s">
        <v>447</v>
      </c>
      <c r="M10" s="168" t="s">
        <v>424</v>
      </c>
      <c r="N10" s="168" t="s">
        <v>425</v>
      </c>
      <c r="O10" s="168" t="s">
        <v>426</v>
      </c>
      <c r="P10" s="243" t="s">
        <v>1067</v>
      </c>
      <c r="Q10" s="243" t="s">
        <v>427</v>
      </c>
      <c r="R10" s="243" t="s">
        <v>428</v>
      </c>
      <c r="S10" s="243" t="s">
        <v>429</v>
      </c>
      <c r="T10" s="243" t="s">
        <v>420</v>
      </c>
    </row>
    <row r="11" spans="1:20" s="24" customFormat="1" ht="50.25" customHeight="1">
      <c r="A11" s="203" t="s">
        <v>498</v>
      </c>
      <c r="B11" s="21">
        <f aca="true" t="shared" si="0" ref="B11:B20">SUM(C11:F11)</f>
        <v>6742</v>
      </c>
      <c r="C11" s="25">
        <v>3991</v>
      </c>
      <c r="D11" s="25">
        <v>1807</v>
      </c>
      <c r="E11" s="25">
        <v>171</v>
      </c>
      <c r="F11" s="25">
        <v>773</v>
      </c>
      <c r="G11" s="23">
        <f>SUM(H11,K11,L11,'11-22續'!B10)</f>
        <v>6742</v>
      </c>
      <c r="H11" s="23">
        <f aca="true" t="shared" si="1" ref="H11:H17">SUM(I11,J11)</f>
        <v>2946</v>
      </c>
      <c r="I11" s="25">
        <v>2600</v>
      </c>
      <c r="J11" s="25">
        <v>346</v>
      </c>
      <c r="K11" s="25">
        <v>190</v>
      </c>
      <c r="L11" s="23">
        <f aca="true" t="shared" si="2" ref="L11:L17">SUM(M11:T11)</f>
        <v>2313</v>
      </c>
      <c r="M11" s="25">
        <v>8</v>
      </c>
      <c r="N11" s="25">
        <v>3</v>
      </c>
      <c r="O11" s="25">
        <v>41</v>
      </c>
      <c r="P11" s="22">
        <v>3</v>
      </c>
      <c r="Q11" s="22">
        <v>2</v>
      </c>
      <c r="R11" s="22">
        <v>1</v>
      </c>
      <c r="S11" s="22">
        <v>3</v>
      </c>
      <c r="T11" s="22">
        <v>2252</v>
      </c>
    </row>
    <row r="12" spans="1:20" ht="50.25" customHeight="1">
      <c r="A12" s="203" t="s">
        <v>499</v>
      </c>
      <c r="B12" s="21">
        <f t="shared" si="0"/>
        <v>8088</v>
      </c>
      <c r="C12" s="25">
        <v>4619</v>
      </c>
      <c r="D12" s="25">
        <v>2126</v>
      </c>
      <c r="E12" s="25">
        <v>196</v>
      </c>
      <c r="F12" s="25">
        <v>1147</v>
      </c>
      <c r="G12" s="23">
        <f>SUM(H12,K12,L12,'11-22續'!B11)</f>
        <v>8088</v>
      </c>
      <c r="H12" s="23">
        <f t="shared" si="1"/>
        <v>3067</v>
      </c>
      <c r="I12" s="25">
        <v>2702</v>
      </c>
      <c r="J12" s="25">
        <v>365</v>
      </c>
      <c r="K12" s="25">
        <v>282</v>
      </c>
      <c r="L12" s="23">
        <f t="shared" si="2"/>
        <v>2958</v>
      </c>
      <c r="M12" s="25">
        <v>8</v>
      </c>
      <c r="N12" s="25">
        <v>3</v>
      </c>
      <c r="O12" s="25">
        <v>67</v>
      </c>
      <c r="P12" s="22">
        <v>3</v>
      </c>
      <c r="Q12" s="22">
        <v>3</v>
      </c>
      <c r="R12" s="22">
        <v>1</v>
      </c>
      <c r="S12" s="22">
        <v>5</v>
      </c>
      <c r="T12" s="22">
        <v>2868</v>
      </c>
    </row>
    <row r="13" spans="1:20" ht="50.25" customHeight="1">
      <c r="A13" s="203" t="s">
        <v>500</v>
      </c>
      <c r="B13" s="21">
        <f t="shared" si="0"/>
        <v>10096</v>
      </c>
      <c r="C13" s="25">
        <v>5738</v>
      </c>
      <c r="D13" s="25">
        <v>2803</v>
      </c>
      <c r="E13" s="25">
        <v>265</v>
      </c>
      <c r="F13" s="25">
        <v>1290</v>
      </c>
      <c r="G13" s="23">
        <f>SUM(H13,K13,L13,'11-22續'!B12)</f>
        <v>10096</v>
      </c>
      <c r="H13" s="23">
        <f t="shared" si="1"/>
        <v>3861</v>
      </c>
      <c r="I13" s="25">
        <v>3482</v>
      </c>
      <c r="J13" s="25">
        <v>379</v>
      </c>
      <c r="K13" s="25">
        <v>347</v>
      </c>
      <c r="L13" s="23">
        <f t="shared" si="2"/>
        <v>3476</v>
      </c>
      <c r="M13" s="25">
        <v>7</v>
      </c>
      <c r="N13" s="25">
        <v>2</v>
      </c>
      <c r="O13" s="25">
        <v>90</v>
      </c>
      <c r="P13" s="22">
        <v>4</v>
      </c>
      <c r="Q13" s="22">
        <v>5</v>
      </c>
      <c r="R13" s="22">
        <v>3</v>
      </c>
      <c r="S13" s="22">
        <v>6</v>
      </c>
      <c r="T13" s="22">
        <v>3359</v>
      </c>
    </row>
    <row r="14" spans="1:20" ht="50.25" customHeight="1">
      <c r="A14" s="203" t="s">
        <v>501</v>
      </c>
      <c r="B14" s="21">
        <f t="shared" si="0"/>
        <v>9706</v>
      </c>
      <c r="C14" s="25">
        <v>5325</v>
      </c>
      <c r="D14" s="25">
        <v>3017</v>
      </c>
      <c r="E14" s="25">
        <v>267</v>
      </c>
      <c r="F14" s="25">
        <v>1097</v>
      </c>
      <c r="G14" s="23">
        <f>SUM(H14,K14,L14,'11-22續'!B13)</f>
        <v>9706</v>
      </c>
      <c r="H14" s="23">
        <f t="shared" si="1"/>
        <v>3475</v>
      </c>
      <c r="I14" s="25">
        <v>3070</v>
      </c>
      <c r="J14" s="25">
        <v>405</v>
      </c>
      <c r="K14" s="25">
        <v>312</v>
      </c>
      <c r="L14" s="23">
        <f t="shared" si="2"/>
        <v>3968</v>
      </c>
      <c r="M14" s="25">
        <v>11</v>
      </c>
      <c r="N14" s="25">
        <v>2</v>
      </c>
      <c r="O14" s="25">
        <v>130</v>
      </c>
      <c r="P14" s="22">
        <v>4</v>
      </c>
      <c r="Q14" s="22">
        <v>7</v>
      </c>
      <c r="R14" s="22">
        <v>4</v>
      </c>
      <c r="S14" s="22">
        <v>6</v>
      </c>
      <c r="T14" s="22">
        <v>3804</v>
      </c>
    </row>
    <row r="15" spans="1:20" ht="50.25" customHeight="1">
      <c r="A15" s="203" t="s">
        <v>502</v>
      </c>
      <c r="B15" s="21">
        <f t="shared" si="0"/>
        <v>11111</v>
      </c>
      <c r="C15" s="25">
        <v>5332</v>
      </c>
      <c r="D15" s="25">
        <v>4106</v>
      </c>
      <c r="E15" s="25">
        <v>280</v>
      </c>
      <c r="F15" s="25">
        <v>1393</v>
      </c>
      <c r="G15" s="23">
        <f>SUM(H15,K15,L15,'11-22續'!B14)</f>
        <v>11111</v>
      </c>
      <c r="H15" s="23">
        <f t="shared" si="1"/>
        <v>3730</v>
      </c>
      <c r="I15" s="25">
        <v>3363</v>
      </c>
      <c r="J15" s="25">
        <v>367</v>
      </c>
      <c r="K15" s="25">
        <v>363</v>
      </c>
      <c r="L15" s="23">
        <f t="shared" si="2"/>
        <v>4618</v>
      </c>
      <c r="M15" s="25">
        <v>11</v>
      </c>
      <c r="N15" s="25">
        <v>13</v>
      </c>
      <c r="O15" s="25">
        <v>174</v>
      </c>
      <c r="P15" s="22">
        <v>4</v>
      </c>
      <c r="Q15" s="22">
        <v>16</v>
      </c>
      <c r="R15" s="22">
        <v>3</v>
      </c>
      <c r="S15" s="22">
        <v>9</v>
      </c>
      <c r="T15" s="22">
        <v>4388</v>
      </c>
    </row>
    <row r="16" spans="1:20" s="24" customFormat="1" ht="50.25" customHeight="1">
      <c r="A16" s="203" t="s">
        <v>503</v>
      </c>
      <c r="B16" s="21">
        <f t="shared" si="0"/>
        <v>12601</v>
      </c>
      <c r="C16" s="25">
        <v>5477</v>
      </c>
      <c r="D16" s="25">
        <v>4975</v>
      </c>
      <c r="E16" s="25">
        <v>289</v>
      </c>
      <c r="F16" s="25">
        <v>1860</v>
      </c>
      <c r="G16" s="23">
        <f>SUM(H16,K16,L16,'11-22續'!B15)</f>
        <v>12601</v>
      </c>
      <c r="H16" s="23">
        <f t="shared" si="1"/>
        <v>4064</v>
      </c>
      <c r="I16" s="25">
        <v>3595</v>
      </c>
      <c r="J16" s="25">
        <v>469</v>
      </c>
      <c r="K16" s="25">
        <v>410</v>
      </c>
      <c r="L16" s="23">
        <f t="shared" si="2"/>
        <v>5558</v>
      </c>
      <c r="M16" s="25">
        <v>22</v>
      </c>
      <c r="N16" s="25">
        <v>5</v>
      </c>
      <c r="O16" s="25">
        <v>220</v>
      </c>
      <c r="P16" s="25">
        <v>9</v>
      </c>
      <c r="Q16" s="25">
        <v>20</v>
      </c>
      <c r="R16" s="25">
        <v>8</v>
      </c>
      <c r="S16" s="25">
        <v>15</v>
      </c>
      <c r="T16" s="25">
        <v>5259</v>
      </c>
    </row>
    <row r="17" spans="1:20" s="26" customFormat="1" ht="50.25" customHeight="1">
      <c r="A17" s="203" t="s">
        <v>504</v>
      </c>
      <c r="B17" s="21">
        <f t="shared" si="0"/>
        <v>10183</v>
      </c>
      <c r="C17" s="23">
        <v>5596</v>
      </c>
      <c r="D17" s="23">
        <v>2289</v>
      </c>
      <c r="E17" s="23">
        <v>237</v>
      </c>
      <c r="F17" s="23">
        <v>2061</v>
      </c>
      <c r="G17" s="23">
        <f>SUM(H17,K17,L17,'11-22續'!B16)</f>
        <v>10183</v>
      </c>
      <c r="H17" s="23">
        <f t="shared" si="1"/>
        <v>3900</v>
      </c>
      <c r="I17" s="23">
        <v>3452</v>
      </c>
      <c r="J17" s="23">
        <v>448</v>
      </c>
      <c r="K17" s="23">
        <v>470</v>
      </c>
      <c r="L17" s="23">
        <f t="shared" si="2"/>
        <v>2797</v>
      </c>
      <c r="M17" s="23">
        <v>20</v>
      </c>
      <c r="N17" s="23">
        <v>9</v>
      </c>
      <c r="O17" s="23">
        <v>247</v>
      </c>
      <c r="P17" s="23">
        <v>3</v>
      </c>
      <c r="Q17" s="23">
        <v>6</v>
      </c>
      <c r="R17" s="23">
        <v>7</v>
      </c>
      <c r="S17" s="23">
        <v>9</v>
      </c>
      <c r="T17" s="23">
        <v>2496</v>
      </c>
    </row>
    <row r="18" spans="1:20" ht="50.25" customHeight="1">
      <c r="A18" s="203" t="s">
        <v>505</v>
      </c>
      <c r="B18" s="21">
        <f t="shared" si="0"/>
        <v>10614</v>
      </c>
      <c r="C18" s="25">
        <v>5695</v>
      </c>
      <c r="D18" s="25">
        <v>2466</v>
      </c>
      <c r="E18" s="25">
        <v>452</v>
      </c>
      <c r="F18" s="25">
        <v>2001</v>
      </c>
      <c r="G18" s="23">
        <f>SUM(H18,K18,L18,'11-22續'!B17)</f>
        <v>10614</v>
      </c>
      <c r="H18" s="23">
        <f>SUM(I18:J18)</f>
        <v>3828</v>
      </c>
      <c r="I18" s="25">
        <v>3389</v>
      </c>
      <c r="J18" s="25">
        <v>439</v>
      </c>
      <c r="K18" s="25">
        <v>522</v>
      </c>
      <c r="L18" s="23">
        <v>3176</v>
      </c>
      <c r="M18" s="25">
        <v>28</v>
      </c>
      <c r="N18" s="25">
        <v>6</v>
      </c>
      <c r="O18" s="25">
        <v>340</v>
      </c>
      <c r="P18" s="25">
        <v>6</v>
      </c>
      <c r="Q18" s="25">
        <v>18</v>
      </c>
      <c r="R18" s="25">
        <v>16</v>
      </c>
      <c r="S18" s="25">
        <v>5</v>
      </c>
      <c r="T18" s="25">
        <v>2757</v>
      </c>
    </row>
    <row r="19" spans="1:20" ht="50.25" customHeight="1">
      <c r="A19" s="203" t="s">
        <v>882</v>
      </c>
      <c r="B19" s="21">
        <f t="shared" si="0"/>
        <v>10437</v>
      </c>
      <c r="C19" s="25">
        <v>5939</v>
      </c>
      <c r="D19" s="25">
        <v>1875</v>
      </c>
      <c r="E19" s="25">
        <v>508</v>
      </c>
      <c r="F19" s="25">
        <v>2115</v>
      </c>
      <c r="G19" s="23">
        <f>SUM(H19,K19,L19,'[4]11-22續'!B19)</f>
        <v>10437</v>
      </c>
      <c r="H19" s="23">
        <f>SUM(I19:J19)</f>
        <v>3899</v>
      </c>
      <c r="I19" s="25">
        <v>3459</v>
      </c>
      <c r="J19" s="25">
        <v>440</v>
      </c>
      <c r="K19" s="25">
        <v>557</v>
      </c>
      <c r="L19" s="23">
        <f>SUM(M19:T19)</f>
        <v>2592</v>
      </c>
      <c r="M19" s="25">
        <v>16</v>
      </c>
      <c r="N19" s="25">
        <v>11</v>
      </c>
      <c r="O19" s="25">
        <v>370</v>
      </c>
      <c r="P19" s="25">
        <v>8</v>
      </c>
      <c r="Q19" s="25">
        <v>7</v>
      </c>
      <c r="R19" s="25">
        <v>9</v>
      </c>
      <c r="S19" s="25">
        <v>9</v>
      </c>
      <c r="T19" s="25">
        <v>2162</v>
      </c>
    </row>
    <row r="20" spans="1:20" ht="50.25" customHeight="1" thickBot="1">
      <c r="A20" s="42" t="s">
        <v>1206</v>
      </c>
      <c r="B20" s="27">
        <f t="shared" si="0"/>
        <v>10332</v>
      </c>
      <c r="C20" s="28">
        <v>6003</v>
      </c>
      <c r="D20" s="28">
        <v>1587</v>
      </c>
      <c r="E20" s="28">
        <v>518</v>
      </c>
      <c r="F20" s="28">
        <v>2224</v>
      </c>
      <c r="G20" s="29">
        <f>H20+K20+L20+'11-22續'!B19</f>
        <v>10332</v>
      </c>
      <c r="H20" s="29">
        <v>3993</v>
      </c>
      <c r="I20" s="28">
        <v>3570</v>
      </c>
      <c r="J20" s="28">
        <v>423</v>
      </c>
      <c r="K20" s="28">
        <v>539</v>
      </c>
      <c r="L20" s="29">
        <f>SUM(M20:T20)</f>
        <v>2269</v>
      </c>
      <c r="M20" s="28">
        <v>12</v>
      </c>
      <c r="N20" s="28">
        <v>7</v>
      </c>
      <c r="O20" s="28">
        <v>447</v>
      </c>
      <c r="P20" s="28">
        <v>13</v>
      </c>
      <c r="Q20" s="28">
        <v>16</v>
      </c>
      <c r="R20" s="28">
        <v>6</v>
      </c>
      <c r="S20" s="28">
        <v>5</v>
      </c>
      <c r="T20" s="28">
        <v>1763</v>
      </c>
    </row>
    <row r="21" spans="1:20" s="158" customFormat="1" ht="15" customHeight="1">
      <c r="A21" s="174" t="s">
        <v>1080</v>
      </c>
      <c r="B21" s="176"/>
      <c r="C21" s="176"/>
      <c r="D21" s="176"/>
      <c r="E21" s="176"/>
      <c r="F21" s="176"/>
      <c r="G21" s="176"/>
      <c r="I21" s="176"/>
      <c r="J21" s="176"/>
      <c r="L21" s="177" t="s">
        <v>430</v>
      </c>
      <c r="O21" s="176"/>
      <c r="P21" s="176"/>
      <c r="Q21" s="176"/>
      <c r="R21" s="176"/>
      <c r="S21" s="176"/>
      <c r="T21" s="176"/>
    </row>
    <row r="22" s="158" customFormat="1" ht="15" customHeight="1"/>
    <row r="23" s="158" customFormat="1" ht="12.75">
      <c r="A23" s="175"/>
    </row>
    <row r="24" s="158" customFormat="1" ht="12.75">
      <c r="A24" s="175"/>
    </row>
    <row r="25" s="158" customFormat="1" ht="12.75"/>
    <row r="26" s="158" customFormat="1" ht="12.75"/>
  </sheetData>
  <sheetProtection/>
  <mergeCells count="28">
    <mergeCell ref="B6:F6"/>
    <mergeCell ref="B7:B8"/>
    <mergeCell ref="G7:G8"/>
    <mergeCell ref="H7:J7"/>
    <mergeCell ref="A2:K2"/>
    <mergeCell ref="L2:T2"/>
    <mergeCell ref="A4:A7"/>
    <mergeCell ref="B4:K4"/>
    <mergeCell ref="L4:T4"/>
    <mergeCell ref="B5:F5"/>
    <mergeCell ref="G5:K6"/>
    <mergeCell ref="L5:T6"/>
    <mergeCell ref="E9:E10"/>
    <mergeCell ref="F9:F10"/>
    <mergeCell ref="C7:C8"/>
    <mergeCell ref="D7:D8"/>
    <mergeCell ref="E7:E8"/>
    <mergeCell ref="F7:F8"/>
    <mergeCell ref="G9:G10"/>
    <mergeCell ref="K9:K10"/>
    <mergeCell ref="K7:K8"/>
    <mergeCell ref="L7:T7"/>
    <mergeCell ref="A8:A10"/>
    <mergeCell ref="H8:J8"/>
    <mergeCell ref="L8:T8"/>
    <mergeCell ref="B9:B10"/>
    <mergeCell ref="C9:C10"/>
    <mergeCell ref="D9:D10"/>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legacyDrawing r:id="rId2"/>
</worksheet>
</file>

<file path=xl/worksheets/sheet34.xml><?xml version="1.0" encoding="utf-8"?>
<worksheet xmlns="http://schemas.openxmlformats.org/spreadsheetml/2006/main" xmlns:r="http://schemas.openxmlformats.org/officeDocument/2006/relationships">
  <dimension ref="A1:N23"/>
  <sheetViews>
    <sheetView showGridLines="0" tabSelected="1" view="pageBreakPreview" zoomScale="70" zoomScaleSheetLayoutView="70" workbookViewId="0" topLeftCell="A1">
      <pane xSplit="1" ySplit="9" topLeftCell="B10" activePane="bottomRight" state="frozen"/>
      <selection pane="topLeft" activeCell="A1" sqref="A1"/>
      <selection pane="topRight" activeCell="A1" sqref="A1"/>
      <selection pane="bottomLeft" activeCell="A1" sqref="A1"/>
      <selection pane="bottomRight" activeCell="N1" sqref="H1:N16384"/>
    </sheetView>
  </sheetViews>
  <sheetFormatPr defaultColWidth="9.00390625" defaultRowHeight="16.5"/>
  <cols>
    <col min="1" max="1" width="10.625" style="158" customWidth="1"/>
    <col min="2" max="6" width="15.375" style="11" customWidth="1"/>
    <col min="7" max="7" width="15.625" style="11" customWidth="1"/>
    <col min="8" max="14" width="10.125" style="11" customWidth="1"/>
    <col min="15" max="16384" width="9.00390625" style="11" customWidth="1"/>
  </cols>
  <sheetData>
    <row r="1" spans="1:14" s="158" customFormat="1" ht="18" customHeight="1">
      <c r="A1" s="157" t="s">
        <v>1077</v>
      </c>
      <c r="N1" s="159" t="s">
        <v>245</v>
      </c>
    </row>
    <row r="2" spans="1:14" s="158" customFormat="1" ht="24.75" customHeight="1">
      <c r="A2" s="686" t="s">
        <v>1294</v>
      </c>
      <c r="B2" s="686"/>
      <c r="C2" s="686"/>
      <c r="D2" s="686"/>
      <c r="E2" s="686"/>
      <c r="F2" s="686"/>
      <c r="G2" s="686" t="s">
        <v>431</v>
      </c>
      <c r="H2" s="686"/>
      <c r="I2" s="686"/>
      <c r="J2" s="686"/>
      <c r="K2" s="686"/>
      <c r="L2" s="686"/>
      <c r="M2" s="686"/>
      <c r="N2" s="686"/>
    </row>
    <row r="3" spans="6:14" s="158" customFormat="1" ht="15" customHeight="1" thickBot="1">
      <c r="F3" s="159" t="s">
        <v>1295</v>
      </c>
      <c r="G3" s="159"/>
      <c r="N3" s="159" t="s">
        <v>432</v>
      </c>
    </row>
    <row r="4" spans="1:14" s="158" customFormat="1" ht="21.75" customHeight="1">
      <c r="A4" s="770" t="s">
        <v>1296</v>
      </c>
      <c r="B4" s="1006" t="s">
        <v>1297</v>
      </c>
      <c r="C4" s="762"/>
      <c r="D4" s="762"/>
      <c r="E4" s="762"/>
      <c r="F4" s="762"/>
      <c r="G4" s="762" t="s">
        <v>433</v>
      </c>
      <c r="H4" s="762"/>
      <c r="I4" s="762"/>
      <c r="J4" s="763"/>
      <c r="K4" s="690" t="s">
        <v>1298</v>
      </c>
      <c r="L4" s="690"/>
      <c r="M4" s="690"/>
      <c r="N4" s="690"/>
    </row>
    <row r="5" spans="1:14" s="158" customFormat="1" ht="21.75" customHeight="1">
      <c r="A5" s="754"/>
      <c r="B5" s="1007" t="s">
        <v>1299</v>
      </c>
      <c r="C5" s="1008"/>
      <c r="D5" s="1008"/>
      <c r="E5" s="1008"/>
      <c r="F5" s="1008"/>
      <c r="G5" s="1008" t="s">
        <v>434</v>
      </c>
      <c r="H5" s="1008"/>
      <c r="I5" s="1008"/>
      <c r="J5" s="1009"/>
      <c r="K5" s="699" t="s">
        <v>391</v>
      </c>
      <c r="L5" s="734"/>
      <c r="M5" s="734"/>
      <c r="N5" s="734"/>
    </row>
    <row r="6" spans="1:14" s="158" customFormat="1" ht="18" customHeight="1">
      <c r="A6" s="754"/>
      <c r="B6" s="758" t="s">
        <v>487</v>
      </c>
      <c r="C6" s="759"/>
      <c r="D6" s="759"/>
      <c r="E6" s="759"/>
      <c r="F6" s="759"/>
      <c r="G6" s="759" t="s">
        <v>435</v>
      </c>
      <c r="H6" s="759"/>
      <c r="I6" s="759"/>
      <c r="J6" s="740"/>
      <c r="K6" s="759" t="s">
        <v>1300</v>
      </c>
      <c r="L6" s="759"/>
      <c r="M6" s="759"/>
      <c r="N6" s="759"/>
    </row>
    <row r="7" spans="1:14" s="158" customFormat="1" ht="18" customHeight="1">
      <c r="A7" s="683" t="s">
        <v>216</v>
      </c>
      <c r="B7" s="1005"/>
      <c r="C7" s="741"/>
      <c r="D7" s="741"/>
      <c r="E7" s="741"/>
      <c r="F7" s="741"/>
      <c r="G7" s="741"/>
      <c r="H7" s="741"/>
      <c r="I7" s="741"/>
      <c r="J7" s="678"/>
      <c r="K7" s="741" t="s">
        <v>394</v>
      </c>
      <c r="L7" s="741"/>
      <c r="M7" s="741"/>
      <c r="N7" s="741"/>
    </row>
    <row r="8" spans="1:14" s="173" customFormat="1" ht="27.75" customHeight="1">
      <c r="A8" s="683"/>
      <c r="B8" s="156" t="s">
        <v>1301</v>
      </c>
      <c r="C8" s="156" t="s">
        <v>1302</v>
      </c>
      <c r="D8" s="156" t="s">
        <v>1303</v>
      </c>
      <c r="E8" s="156" t="s">
        <v>1304</v>
      </c>
      <c r="F8" s="156" t="s">
        <v>1305</v>
      </c>
      <c r="G8" s="165" t="s">
        <v>1306</v>
      </c>
      <c r="H8" s="165" t="s">
        <v>492</v>
      </c>
      <c r="I8" s="156" t="s">
        <v>1307</v>
      </c>
      <c r="J8" s="156" t="s">
        <v>493</v>
      </c>
      <c r="K8" s="156" t="s">
        <v>494</v>
      </c>
      <c r="L8" s="156" t="s">
        <v>495</v>
      </c>
      <c r="M8" s="156" t="s">
        <v>496</v>
      </c>
      <c r="N8" s="250" t="s">
        <v>497</v>
      </c>
    </row>
    <row r="9" spans="1:14" s="173" customFormat="1" ht="51.75" customHeight="1" thickBot="1">
      <c r="A9" s="684"/>
      <c r="B9" s="168" t="s">
        <v>447</v>
      </c>
      <c r="C9" s="168" t="s">
        <v>436</v>
      </c>
      <c r="D9" s="168" t="s">
        <v>437</v>
      </c>
      <c r="E9" s="168" t="s">
        <v>438</v>
      </c>
      <c r="F9" s="243" t="s">
        <v>449</v>
      </c>
      <c r="G9" s="245" t="s">
        <v>439</v>
      </c>
      <c r="H9" s="245" t="s">
        <v>440</v>
      </c>
      <c r="I9" s="243" t="s">
        <v>441</v>
      </c>
      <c r="J9" s="243" t="s">
        <v>442</v>
      </c>
      <c r="K9" s="243" t="s">
        <v>395</v>
      </c>
      <c r="L9" s="243" t="s">
        <v>396</v>
      </c>
      <c r="M9" s="243" t="s">
        <v>397</v>
      </c>
      <c r="N9" s="246" t="s">
        <v>398</v>
      </c>
    </row>
    <row r="10" spans="1:14" s="24" customFormat="1" ht="55.5" customHeight="1">
      <c r="A10" s="203" t="s">
        <v>498</v>
      </c>
      <c r="B10" s="21">
        <f aca="true" t="shared" si="0" ref="B10:B15">SUM(C10:J10)</f>
        <v>1293</v>
      </c>
      <c r="C10" s="22">
        <v>544</v>
      </c>
      <c r="D10" s="22">
        <v>56</v>
      </c>
      <c r="E10" s="22">
        <v>302</v>
      </c>
      <c r="F10" s="22">
        <v>105</v>
      </c>
      <c r="G10" s="22">
        <v>46</v>
      </c>
      <c r="H10" s="22">
        <v>62</v>
      </c>
      <c r="I10" s="22">
        <v>132</v>
      </c>
      <c r="J10" s="22">
        <v>46</v>
      </c>
      <c r="K10" s="23">
        <f aca="true" t="shared" si="1" ref="K10:K15">SUM(L10:N10)</f>
        <v>6468</v>
      </c>
      <c r="L10" s="22">
        <v>1416</v>
      </c>
      <c r="M10" s="22">
        <v>4980</v>
      </c>
      <c r="N10" s="22">
        <v>72</v>
      </c>
    </row>
    <row r="11" spans="1:14" ht="55.5" customHeight="1">
      <c r="A11" s="203" t="s">
        <v>499</v>
      </c>
      <c r="B11" s="21">
        <f t="shared" si="0"/>
        <v>1781</v>
      </c>
      <c r="C11" s="22">
        <v>931</v>
      </c>
      <c r="D11" s="22">
        <v>55</v>
      </c>
      <c r="E11" s="22">
        <v>331</v>
      </c>
      <c r="F11" s="22">
        <v>177</v>
      </c>
      <c r="G11" s="22">
        <v>43</v>
      </c>
      <c r="H11" s="22">
        <v>79</v>
      </c>
      <c r="I11" s="22">
        <v>118</v>
      </c>
      <c r="J11" s="22">
        <v>47</v>
      </c>
      <c r="K11" s="23">
        <f t="shared" si="1"/>
        <v>7746</v>
      </c>
      <c r="L11" s="22">
        <v>1817</v>
      </c>
      <c r="M11" s="22">
        <v>5867</v>
      </c>
      <c r="N11" s="22">
        <v>62</v>
      </c>
    </row>
    <row r="12" spans="1:14" ht="55.5" customHeight="1">
      <c r="A12" s="203" t="s">
        <v>500</v>
      </c>
      <c r="B12" s="21">
        <f t="shared" si="0"/>
        <v>2412</v>
      </c>
      <c r="C12" s="22">
        <v>1134</v>
      </c>
      <c r="D12" s="22">
        <v>55</v>
      </c>
      <c r="E12" s="22">
        <v>485</v>
      </c>
      <c r="F12" s="22">
        <v>203</v>
      </c>
      <c r="G12" s="22">
        <v>72</v>
      </c>
      <c r="H12" s="22">
        <v>145</v>
      </c>
      <c r="I12" s="22">
        <v>238</v>
      </c>
      <c r="J12" s="22">
        <v>80</v>
      </c>
      <c r="K12" s="23">
        <f t="shared" si="1"/>
        <v>9392</v>
      </c>
      <c r="L12" s="22">
        <v>2296</v>
      </c>
      <c r="M12" s="22">
        <v>7017</v>
      </c>
      <c r="N12" s="22">
        <v>79</v>
      </c>
    </row>
    <row r="13" spans="1:14" ht="55.5" customHeight="1">
      <c r="A13" s="203" t="s">
        <v>501</v>
      </c>
      <c r="B13" s="21">
        <f t="shared" si="0"/>
        <v>1951</v>
      </c>
      <c r="C13" s="22">
        <v>735</v>
      </c>
      <c r="D13" s="22">
        <v>55</v>
      </c>
      <c r="E13" s="22">
        <v>542</v>
      </c>
      <c r="F13" s="22">
        <v>164</v>
      </c>
      <c r="G13" s="22">
        <v>45</v>
      </c>
      <c r="H13" s="22">
        <v>158</v>
      </c>
      <c r="I13" s="22">
        <v>211</v>
      </c>
      <c r="J13" s="22">
        <v>41</v>
      </c>
      <c r="K13" s="23">
        <f t="shared" si="1"/>
        <v>8489</v>
      </c>
      <c r="L13" s="22">
        <v>2203</v>
      </c>
      <c r="M13" s="22">
        <v>6196</v>
      </c>
      <c r="N13" s="22">
        <v>90</v>
      </c>
    </row>
    <row r="14" spans="1:14" ht="55.5" customHeight="1">
      <c r="A14" s="203" t="s">
        <v>502</v>
      </c>
      <c r="B14" s="21">
        <f t="shared" si="0"/>
        <v>2400</v>
      </c>
      <c r="C14" s="22">
        <v>928</v>
      </c>
      <c r="D14" s="22">
        <v>65</v>
      </c>
      <c r="E14" s="22">
        <v>675</v>
      </c>
      <c r="F14" s="22">
        <v>212</v>
      </c>
      <c r="G14" s="22">
        <v>69</v>
      </c>
      <c r="H14" s="22">
        <v>151</v>
      </c>
      <c r="I14" s="22">
        <v>242</v>
      </c>
      <c r="J14" s="22">
        <v>58</v>
      </c>
      <c r="K14" s="23">
        <f t="shared" si="1"/>
        <v>9608</v>
      </c>
      <c r="L14" s="22">
        <v>2749</v>
      </c>
      <c r="M14" s="22">
        <v>6682</v>
      </c>
      <c r="N14" s="22">
        <v>177</v>
      </c>
    </row>
    <row r="15" spans="1:14" s="24" customFormat="1" ht="55.5" customHeight="1">
      <c r="A15" s="203" t="s">
        <v>503</v>
      </c>
      <c r="B15" s="21">
        <f t="shared" si="0"/>
        <v>2569</v>
      </c>
      <c r="C15" s="25">
        <v>996</v>
      </c>
      <c r="D15" s="25">
        <v>89</v>
      </c>
      <c r="E15" s="25">
        <v>655</v>
      </c>
      <c r="F15" s="25">
        <v>243</v>
      </c>
      <c r="G15" s="25">
        <v>71</v>
      </c>
      <c r="H15" s="25">
        <v>211</v>
      </c>
      <c r="I15" s="25">
        <v>264</v>
      </c>
      <c r="J15" s="25">
        <v>40</v>
      </c>
      <c r="K15" s="23">
        <f t="shared" si="1"/>
        <v>10812</v>
      </c>
      <c r="L15" s="25">
        <v>3253</v>
      </c>
      <c r="M15" s="25">
        <v>7345</v>
      </c>
      <c r="N15" s="25">
        <v>214</v>
      </c>
    </row>
    <row r="16" spans="1:14" s="26" customFormat="1" ht="55.5" customHeight="1">
      <c r="A16" s="203" t="s">
        <v>504</v>
      </c>
      <c r="B16" s="21">
        <f>SUM(C16:J16)</f>
        <v>3016</v>
      </c>
      <c r="C16" s="23">
        <v>1270</v>
      </c>
      <c r="D16" s="23">
        <v>88</v>
      </c>
      <c r="E16" s="23">
        <v>693</v>
      </c>
      <c r="F16" s="23">
        <v>250</v>
      </c>
      <c r="G16" s="23">
        <v>67</v>
      </c>
      <c r="H16" s="23">
        <v>304</v>
      </c>
      <c r="I16" s="23">
        <v>275</v>
      </c>
      <c r="J16" s="23">
        <v>69</v>
      </c>
      <c r="K16" s="23">
        <f>SUM(L16:N16)</f>
        <v>8595</v>
      </c>
      <c r="L16" s="23">
        <v>2286</v>
      </c>
      <c r="M16" s="23">
        <v>6167</v>
      </c>
      <c r="N16" s="23">
        <v>142</v>
      </c>
    </row>
    <row r="17" spans="1:14" ht="55.5" customHeight="1">
      <c r="A17" s="203" t="s">
        <v>505</v>
      </c>
      <c r="B17" s="21">
        <f>SUM(C17:J17)</f>
        <v>3088</v>
      </c>
      <c r="C17" s="25">
        <v>1335</v>
      </c>
      <c r="D17" s="25">
        <v>98</v>
      </c>
      <c r="E17" s="25">
        <v>770</v>
      </c>
      <c r="F17" s="25">
        <v>278</v>
      </c>
      <c r="G17" s="25">
        <v>72</v>
      </c>
      <c r="H17" s="25">
        <v>254</v>
      </c>
      <c r="I17" s="25">
        <v>213</v>
      </c>
      <c r="J17" s="25">
        <v>68</v>
      </c>
      <c r="K17" s="23">
        <f>SUM(L17:N17)</f>
        <v>8834</v>
      </c>
      <c r="L17" s="25">
        <v>2462</v>
      </c>
      <c r="M17" s="25">
        <v>6240</v>
      </c>
      <c r="N17" s="25">
        <v>132</v>
      </c>
    </row>
    <row r="18" spans="1:14" ht="55.5" customHeight="1">
      <c r="A18" s="203" t="s">
        <v>882</v>
      </c>
      <c r="B18" s="21">
        <f>SUM(C18:J18)</f>
        <v>3389</v>
      </c>
      <c r="C18" s="25">
        <v>1369</v>
      </c>
      <c r="D18" s="25">
        <v>126</v>
      </c>
      <c r="E18" s="25">
        <v>832</v>
      </c>
      <c r="F18" s="25">
        <v>437</v>
      </c>
      <c r="G18" s="25">
        <v>114</v>
      </c>
      <c r="H18" s="25">
        <v>216</v>
      </c>
      <c r="I18" s="25">
        <v>192</v>
      </c>
      <c r="J18" s="25">
        <v>103</v>
      </c>
      <c r="K18" s="23">
        <f>SUM(L18:N18)</f>
        <v>8553</v>
      </c>
      <c r="L18" s="25">
        <v>2323</v>
      </c>
      <c r="M18" s="25">
        <v>6127</v>
      </c>
      <c r="N18" s="25">
        <v>103</v>
      </c>
    </row>
    <row r="19" spans="1:14" ht="55.5" customHeight="1" thickBot="1">
      <c r="A19" s="42" t="s">
        <v>1206</v>
      </c>
      <c r="B19" s="28">
        <f>SUM(C19:J19)</f>
        <v>3531</v>
      </c>
      <c r="C19" s="28">
        <v>1435</v>
      </c>
      <c r="D19" s="28">
        <v>153</v>
      </c>
      <c r="E19" s="28">
        <v>834</v>
      </c>
      <c r="F19" s="28">
        <v>572</v>
      </c>
      <c r="G19" s="28">
        <v>104</v>
      </c>
      <c r="H19" s="28">
        <v>199</v>
      </c>
      <c r="I19" s="28">
        <v>150</v>
      </c>
      <c r="J19" s="28">
        <v>84</v>
      </c>
      <c r="K19" s="28">
        <f>SUM(L19:N19)</f>
        <v>8348</v>
      </c>
      <c r="L19" s="28">
        <v>2261</v>
      </c>
      <c r="M19" s="28">
        <v>6001</v>
      </c>
      <c r="N19" s="28">
        <v>86</v>
      </c>
    </row>
    <row r="20" ht="12.75">
      <c r="A20" s="392"/>
    </row>
    <row r="21" ht="15" customHeight="1"/>
    <row r="22" ht="12.75">
      <c r="A22" s="175"/>
    </row>
    <row r="23" ht="12.75">
      <c r="A23" s="175"/>
    </row>
  </sheetData>
  <sheetProtection/>
  <mergeCells count="14">
    <mergeCell ref="G4:J4"/>
    <mergeCell ref="K4:N4"/>
    <mergeCell ref="B5:F5"/>
    <mergeCell ref="G5:J5"/>
    <mergeCell ref="K5:N5"/>
    <mergeCell ref="B6:F7"/>
    <mergeCell ref="G6:J7"/>
    <mergeCell ref="G2:N2"/>
    <mergeCell ref="K6:N6"/>
    <mergeCell ref="A7:A9"/>
    <mergeCell ref="K7:N7"/>
    <mergeCell ref="A2:F2"/>
    <mergeCell ref="A4:A6"/>
    <mergeCell ref="B4:F4"/>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Z18"/>
  <sheetViews>
    <sheetView showGridLines="0" view="pageBreakPreview" zoomScale="70" zoomScaleNormal="120" zoomScaleSheetLayoutView="7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C9" sqref="AC9"/>
    </sheetView>
  </sheetViews>
  <sheetFormatPr defaultColWidth="9.00390625" defaultRowHeight="16.5"/>
  <cols>
    <col min="1" max="1" width="10.625" style="323" customWidth="1"/>
    <col min="2" max="2" width="8.875" style="323" customWidth="1"/>
    <col min="3" max="9" width="9.625" style="115" customWidth="1"/>
    <col min="10" max="15" width="14.625" style="115" customWidth="1"/>
    <col min="16" max="27" width="0" style="115" hidden="1" customWidth="1"/>
    <col min="28" max="16384" width="9.00390625" style="115" customWidth="1"/>
  </cols>
  <sheetData>
    <row r="1" spans="1:15" s="323" customFormat="1" ht="18" customHeight="1">
      <c r="A1" s="210" t="s">
        <v>1077</v>
      </c>
      <c r="C1" s="334"/>
      <c r="D1" s="334"/>
      <c r="E1" s="334"/>
      <c r="F1" s="334"/>
      <c r="G1" s="334"/>
      <c r="H1" s="334"/>
      <c r="I1" s="335"/>
      <c r="J1" s="336"/>
      <c r="K1" s="336"/>
      <c r="L1" s="337"/>
      <c r="M1" s="337"/>
      <c r="N1" s="337"/>
      <c r="O1" s="351" t="s">
        <v>64</v>
      </c>
    </row>
    <row r="2" spans="1:17" s="323" customFormat="1" ht="24.75" customHeight="1">
      <c r="A2" s="586" t="s">
        <v>1175</v>
      </c>
      <c r="B2" s="586"/>
      <c r="C2" s="586"/>
      <c r="D2" s="586"/>
      <c r="E2" s="586"/>
      <c r="F2" s="586"/>
      <c r="G2" s="586"/>
      <c r="H2" s="586"/>
      <c r="I2" s="599"/>
      <c r="J2" s="586" t="s">
        <v>65</v>
      </c>
      <c r="K2" s="586"/>
      <c r="L2" s="586"/>
      <c r="M2" s="586"/>
      <c r="N2" s="586"/>
      <c r="O2" s="586"/>
      <c r="P2" s="335"/>
      <c r="Q2" s="335"/>
    </row>
    <row r="3" spans="2:15" s="323" customFormat="1" ht="15" customHeight="1" thickBot="1">
      <c r="B3" s="324"/>
      <c r="C3" s="324"/>
      <c r="D3" s="324"/>
      <c r="E3" s="324"/>
      <c r="H3" s="600" t="s">
        <v>1176</v>
      </c>
      <c r="I3" s="600"/>
      <c r="J3" s="339"/>
      <c r="K3" s="339"/>
      <c r="L3" s="324"/>
      <c r="M3" s="324"/>
      <c r="N3" s="324"/>
      <c r="O3" s="338" t="s">
        <v>66</v>
      </c>
    </row>
    <row r="4" spans="1:15" s="323" customFormat="1" ht="19.5" customHeight="1">
      <c r="A4" s="587" t="s">
        <v>458</v>
      </c>
      <c r="B4" s="588"/>
      <c r="C4" s="591" t="s">
        <v>815</v>
      </c>
      <c r="D4" s="587"/>
      <c r="E4" s="587"/>
      <c r="F4" s="587"/>
      <c r="G4" s="587"/>
      <c r="H4" s="587"/>
      <c r="I4" s="592"/>
      <c r="J4" s="601" t="s">
        <v>816</v>
      </c>
      <c r="K4" s="601"/>
      <c r="L4" s="601"/>
      <c r="M4" s="601"/>
      <c r="N4" s="601"/>
      <c r="O4" s="601"/>
    </row>
    <row r="5" spans="1:15" s="323" customFormat="1" ht="19.5" customHeight="1">
      <c r="A5" s="589"/>
      <c r="B5" s="590"/>
      <c r="C5" s="602" t="s">
        <v>67</v>
      </c>
      <c r="D5" s="603"/>
      <c r="E5" s="603"/>
      <c r="F5" s="603"/>
      <c r="G5" s="603"/>
      <c r="H5" s="603"/>
      <c r="I5" s="604"/>
      <c r="J5" s="603" t="s">
        <v>68</v>
      </c>
      <c r="K5" s="603"/>
      <c r="L5" s="603"/>
      <c r="M5" s="603"/>
      <c r="N5" s="603"/>
      <c r="O5" s="603"/>
    </row>
    <row r="6" spans="1:25" s="323" customFormat="1" ht="24.75" customHeight="1">
      <c r="A6" s="595" t="s">
        <v>69</v>
      </c>
      <c r="B6" s="596"/>
      <c r="C6" s="340" t="s">
        <v>817</v>
      </c>
      <c r="D6" s="341" t="s">
        <v>818</v>
      </c>
      <c r="E6" s="340" t="s">
        <v>819</v>
      </c>
      <c r="F6" s="340" t="s">
        <v>820</v>
      </c>
      <c r="G6" s="342" t="s">
        <v>821</v>
      </c>
      <c r="H6" s="343" t="s">
        <v>822</v>
      </c>
      <c r="I6" s="340" t="s">
        <v>493</v>
      </c>
      <c r="J6" s="342" t="s">
        <v>823</v>
      </c>
      <c r="K6" s="341" t="s">
        <v>1382</v>
      </c>
      <c r="L6" s="341" t="s">
        <v>1383</v>
      </c>
      <c r="M6" s="341" t="s">
        <v>1384</v>
      </c>
      <c r="N6" s="341" t="s">
        <v>1385</v>
      </c>
      <c r="O6" s="344" t="s">
        <v>493</v>
      </c>
      <c r="Q6" s="323" t="s">
        <v>1386</v>
      </c>
      <c r="U6" s="323" t="s">
        <v>1387</v>
      </c>
      <c r="Y6" s="323" t="s">
        <v>1388</v>
      </c>
    </row>
    <row r="7" spans="1:15" s="323" customFormat="1" ht="45.75" customHeight="1" thickBot="1">
      <c r="A7" s="597"/>
      <c r="B7" s="598"/>
      <c r="C7" s="345" t="s">
        <v>70</v>
      </c>
      <c r="D7" s="345" t="s">
        <v>71</v>
      </c>
      <c r="E7" s="345" t="s">
        <v>72</v>
      </c>
      <c r="F7" s="345" t="s">
        <v>73</v>
      </c>
      <c r="G7" s="346" t="s">
        <v>74</v>
      </c>
      <c r="H7" s="346" t="s">
        <v>75</v>
      </c>
      <c r="I7" s="345" t="s">
        <v>76</v>
      </c>
      <c r="J7" s="346" t="s">
        <v>444</v>
      </c>
      <c r="K7" s="345" t="s">
        <v>77</v>
      </c>
      <c r="L7" s="345" t="s">
        <v>78</v>
      </c>
      <c r="M7" s="345" t="s">
        <v>79</v>
      </c>
      <c r="N7" s="345" t="s">
        <v>443</v>
      </c>
      <c r="O7" s="347" t="s">
        <v>76</v>
      </c>
    </row>
    <row r="8" spans="1:26" ht="60.75" customHeight="1">
      <c r="A8" s="326" t="s">
        <v>824</v>
      </c>
      <c r="B8" s="327" t="s">
        <v>28</v>
      </c>
      <c r="C8" s="108">
        <v>0</v>
      </c>
      <c r="D8" s="108">
        <v>0</v>
      </c>
      <c r="E8" s="108">
        <v>0</v>
      </c>
      <c r="F8" s="108">
        <v>1</v>
      </c>
      <c r="G8" s="108">
        <v>0</v>
      </c>
      <c r="H8" s="108">
        <v>8</v>
      </c>
      <c r="I8" s="108">
        <v>4</v>
      </c>
      <c r="J8" s="108">
        <v>1</v>
      </c>
      <c r="K8" s="108">
        <v>4</v>
      </c>
      <c r="L8" s="108">
        <v>1</v>
      </c>
      <c r="M8" s="108">
        <v>1</v>
      </c>
      <c r="N8" s="108">
        <v>0</v>
      </c>
      <c r="O8" s="108">
        <v>0</v>
      </c>
      <c r="Q8" s="115">
        <v>8</v>
      </c>
      <c r="R8" s="115">
        <f>IF(H8=Q8,1)</f>
        <v>1</v>
      </c>
      <c r="U8" s="115">
        <v>4</v>
      </c>
      <c r="W8" s="115">
        <f>IF(U8=K8,1)</f>
        <v>1</v>
      </c>
      <c r="Y8" s="115">
        <v>1</v>
      </c>
      <c r="Z8" s="115">
        <f>IF(Y8=L8,1)</f>
        <v>1</v>
      </c>
    </row>
    <row r="9" spans="1:26" ht="60.75" customHeight="1">
      <c r="A9" s="326" t="s">
        <v>825</v>
      </c>
      <c r="B9" s="328" t="s">
        <v>56</v>
      </c>
      <c r="C9" s="108">
        <v>0</v>
      </c>
      <c r="D9" s="108">
        <v>0</v>
      </c>
      <c r="E9" s="108">
        <v>0</v>
      </c>
      <c r="F9" s="108">
        <v>1</v>
      </c>
      <c r="G9" s="108">
        <v>3</v>
      </c>
      <c r="H9" s="108">
        <v>9</v>
      </c>
      <c r="I9" s="108">
        <v>10</v>
      </c>
      <c r="J9" s="108">
        <v>0</v>
      </c>
      <c r="K9" s="108">
        <v>6</v>
      </c>
      <c r="L9" s="108">
        <v>0</v>
      </c>
      <c r="M9" s="108">
        <v>1</v>
      </c>
      <c r="N9" s="108">
        <v>0</v>
      </c>
      <c r="O9" s="108">
        <v>0</v>
      </c>
      <c r="Q9" s="115">
        <v>9</v>
      </c>
      <c r="R9" s="115">
        <f aca="true" t="shared" si="0" ref="R9:R17">IF(H9=Q9,1)</f>
        <v>1</v>
      </c>
      <c r="U9" s="115">
        <v>6</v>
      </c>
      <c r="W9" s="115">
        <f aca="true" t="shared" si="1" ref="W9:W17">IF(U9=K9,1)</f>
        <v>1</v>
      </c>
      <c r="Y9" s="115">
        <v>0</v>
      </c>
      <c r="Z9" s="115">
        <f aca="true" t="shared" si="2" ref="Z9:Z17">IF(Y9=L9,1)</f>
        <v>1</v>
      </c>
    </row>
    <row r="10" spans="1:26" ht="60.75" customHeight="1">
      <c r="A10" s="326" t="s">
        <v>826</v>
      </c>
      <c r="B10" s="329" t="s">
        <v>57</v>
      </c>
      <c r="C10" s="108">
        <v>0</v>
      </c>
      <c r="D10" s="108">
        <v>0</v>
      </c>
      <c r="E10" s="108">
        <v>0</v>
      </c>
      <c r="F10" s="108">
        <v>1</v>
      </c>
      <c r="G10" s="108">
        <v>3</v>
      </c>
      <c r="H10" s="108">
        <v>9</v>
      </c>
      <c r="I10" s="108">
        <v>11</v>
      </c>
      <c r="J10" s="108">
        <v>0</v>
      </c>
      <c r="K10" s="108">
        <v>14</v>
      </c>
      <c r="L10" s="108">
        <v>2</v>
      </c>
      <c r="M10" s="108">
        <v>1</v>
      </c>
      <c r="N10" s="108">
        <v>1</v>
      </c>
      <c r="O10" s="108">
        <v>0</v>
      </c>
      <c r="Q10" s="115">
        <v>9</v>
      </c>
      <c r="R10" s="115">
        <f t="shared" si="0"/>
        <v>1</v>
      </c>
      <c r="U10" s="115">
        <v>14</v>
      </c>
      <c r="W10" s="115">
        <f t="shared" si="1"/>
        <v>1</v>
      </c>
      <c r="Y10" s="115">
        <v>2</v>
      </c>
      <c r="Z10" s="115">
        <f t="shared" si="2"/>
        <v>1</v>
      </c>
    </row>
    <row r="11" spans="1:26" ht="60.75" customHeight="1">
      <c r="A11" s="326" t="s">
        <v>827</v>
      </c>
      <c r="B11" s="327" t="s">
        <v>31</v>
      </c>
      <c r="C11" s="108">
        <v>0</v>
      </c>
      <c r="D11" s="108">
        <v>0</v>
      </c>
      <c r="E11" s="108">
        <v>0</v>
      </c>
      <c r="F11" s="108">
        <v>1</v>
      </c>
      <c r="G11" s="108">
        <v>0</v>
      </c>
      <c r="H11" s="108">
        <v>7</v>
      </c>
      <c r="I11" s="108">
        <v>11</v>
      </c>
      <c r="J11" s="108">
        <v>0</v>
      </c>
      <c r="K11" s="108">
        <v>11</v>
      </c>
      <c r="L11" s="108">
        <v>3</v>
      </c>
      <c r="M11" s="108">
        <v>2</v>
      </c>
      <c r="N11" s="108">
        <v>2</v>
      </c>
      <c r="O11" s="108">
        <v>1</v>
      </c>
      <c r="Q11" s="115">
        <v>7</v>
      </c>
      <c r="R11" s="115">
        <f t="shared" si="0"/>
        <v>1</v>
      </c>
      <c r="U11" s="115">
        <v>11</v>
      </c>
      <c r="W11" s="115">
        <f t="shared" si="1"/>
        <v>1</v>
      </c>
      <c r="Y11" s="115">
        <v>3</v>
      </c>
      <c r="Z11" s="115">
        <f t="shared" si="2"/>
        <v>1</v>
      </c>
    </row>
    <row r="12" spans="1:26" ht="60.75" customHeight="1">
      <c r="A12" s="326" t="s">
        <v>828</v>
      </c>
      <c r="B12" s="327" t="s">
        <v>80</v>
      </c>
      <c r="C12" s="108">
        <v>0</v>
      </c>
      <c r="D12" s="108">
        <v>0</v>
      </c>
      <c r="E12" s="108">
        <v>0</v>
      </c>
      <c r="F12" s="108">
        <v>1</v>
      </c>
      <c r="G12" s="108">
        <v>4</v>
      </c>
      <c r="H12" s="108">
        <v>7</v>
      </c>
      <c r="I12" s="108">
        <v>15</v>
      </c>
      <c r="J12" s="108">
        <v>0</v>
      </c>
      <c r="K12" s="108">
        <v>12</v>
      </c>
      <c r="L12" s="108">
        <v>3</v>
      </c>
      <c r="M12" s="108">
        <v>2</v>
      </c>
      <c r="N12" s="108">
        <v>3</v>
      </c>
      <c r="O12" s="108">
        <v>1</v>
      </c>
      <c r="Q12" s="115">
        <v>11</v>
      </c>
      <c r="R12" s="115" t="b">
        <f t="shared" si="0"/>
        <v>0</v>
      </c>
      <c r="U12" s="115">
        <v>12</v>
      </c>
      <c r="W12" s="115">
        <f t="shared" si="1"/>
        <v>1</v>
      </c>
      <c r="Y12" s="115">
        <v>3</v>
      </c>
      <c r="Z12" s="115">
        <f t="shared" si="2"/>
        <v>1</v>
      </c>
    </row>
    <row r="13" spans="1:26" ht="60.75" customHeight="1">
      <c r="A13" s="326" t="s">
        <v>829</v>
      </c>
      <c r="B13" s="327" t="s">
        <v>81</v>
      </c>
      <c r="C13" s="108" t="s">
        <v>82</v>
      </c>
      <c r="D13" s="108">
        <v>0</v>
      </c>
      <c r="E13" s="108">
        <v>0</v>
      </c>
      <c r="F13" s="108">
        <v>1</v>
      </c>
      <c r="G13" s="108">
        <v>0</v>
      </c>
      <c r="H13" s="108">
        <v>11</v>
      </c>
      <c r="I13" s="108">
        <v>17</v>
      </c>
      <c r="J13" s="108">
        <v>0</v>
      </c>
      <c r="K13" s="108">
        <v>12</v>
      </c>
      <c r="L13" s="108">
        <v>2</v>
      </c>
      <c r="M13" s="108">
        <v>1</v>
      </c>
      <c r="N13" s="108">
        <v>2</v>
      </c>
      <c r="O13" s="108">
        <v>0</v>
      </c>
      <c r="Q13" s="115">
        <v>11</v>
      </c>
      <c r="R13" s="115">
        <f t="shared" si="0"/>
        <v>1</v>
      </c>
      <c r="U13" s="115">
        <v>12</v>
      </c>
      <c r="W13" s="115">
        <f t="shared" si="1"/>
        <v>1</v>
      </c>
      <c r="Y13" s="115">
        <v>2</v>
      </c>
      <c r="Z13" s="115">
        <f t="shared" si="2"/>
        <v>1</v>
      </c>
    </row>
    <row r="14" spans="1:26" ht="60.75" customHeight="1">
      <c r="A14" s="330" t="s">
        <v>830</v>
      </c>
      <c r="B14" s="327" t="s">
        <v>83</v>
      </c>
      <c r="C14" s="108" t="s">
        <v>82</v>
      </c>
      <c r="D14" s="108">
        <v>0</v>
      </c>
      <c r="E14" s="108">
        <v>0</v>
      </c>
      <c r="F14" s="108">
        <v>1</v>
      </c>
      <c r="G14" s="108">
        <v>0</v>
      </c>
      <c r="H14" s="108">
        <v>9</v>
      </c>
      <c r="I14" s="108">
        <v>16</v>
      </c>
      <c r="J14" s="108">
        <v>0</v>
      </c>
      <c r="K14" s="108">
        <v>2</v>
      </c>
      <c r="L14" s="108">
        <v>0</v>
      </c>
      <c r="M14" s="108">
        <v>3</v>
      </c>
      <c r="N14" s="108">
        <v>1</v>
      </c>
      <c r="O14" s="108">
        <v>0</v>
      </c>
      <c r="Q14" s="115">
        <v>9</v>
      </c>
      <c r="R14" s="115">
        <f t="shared" si="0"/>
        <v>1</v>
      </c>
      <c r="U14" s="115">
        <v>2</v>
      </c>
      <c r="W14" s="115">
        <f t="shared" si="1"/>
        <v>1</v>
      </c>
      <c r="Y14" s="115">
        <v>0</v>
      </c>
      <c r="Z14" s="115">
        <f t="shared" si="2"/>
        <v>1</v>
      </c>
    </row>
    <row r="15" spans="1:26" ht="60.75" customHeight="1">
      <c r="A15" s="330" t="s">
        <v>861</v>
      </c>
      <c r="B15" s="327" t="s">
        <v>862</v>
      </c>
      <c r="C15" s="125">
        <v>1</v>
      </c>
      <c r="D15" s="108">
        <v>0</v>
      </c>
      <c r="E15" s="108">
        <v>0</v>
      </c>
      <c r="F15" s="108">
        <v>1</v>
      </c>
      <c r="G15" s="108">
        <v>0</v>
      </c>
      <c r="H15" s="108">
        <v>8</v>
      </c>
      <c r="I15" s="108">
        <v>19</v>
      </c>
      <c r="J15" s="108">
        <v>0</v>
      </c>
      <c r="K15" s="108">
        <v>2</v>
      </c>
      <c r="L15" s="108">
        <v>0</v>
      </c>
      <c r="M15" s="108">
        <v>1</v>
      </c>
      <c r="N15" s="108">
        <v>1</v>
      </c>
      <c r="O15" s="108">
        <v>0</v>
      </c>
      <c r="Q15" s="115">
        <v>8</v>
      </c>
      <c r="R15" s="115">
        <f t="shared" si="0"/>
        <v>1</v>
      </c>
      <c r="U15" s="115">
        <v>2</v>
      </c>
      <c r="W15" s="115">
        <f t="shared" si="1"/>
        <v>1</v>
      </c>
      <c r="Y15" s="115">
        <v>0</v>
      </c>
      <c r="Z15" s="115">
        <f t="shared" si="2"/>
        <v>1</v>
      </c>
    </row>
    <row r="16" spans="1:26" ht="60.75" customHeight="1">
      <c r="A16" s="330" t="s">
        <v>859</v>
      </c>
      <c r="B16" s="327" t="s">
        <v>863</v>
      </c>
      <c r="C16" s="125">
        <v>1</v>
      </c>
      <c r="D16" s="108">
        <v>0</v>
      </c>
      <c r="E16" s="108">
        <v>0</v>
      </c>
      <c r="F16" s="108">
        <v>1</v>
      </c>
      <c r="G16" s="108">
        <v>0</v>
      </c>
      <c r="H16" s="108">
        <v>5</v>
      </c>
      <c r="I16" s="108">
        <v>5</v>
      </c>
      <c r="J16" s="108">
        <v>0</v>
      </c>
      <c r="K16" s="108">
        <v>1</v>
      </c>
      <c r="L16" s="108">
        <v>0</v>
      </c>
      <c r="M16" s="108">
        <v>1</v>
      </c>
      <c r="N16" s="108">
        <v>0</v>
      </c>
      <c r="O16" s="108">
        <v>0</v>
      </c>
      <c r="Q16" s="115">
        <v>5</v>
      </c>
      <c r="R16" s="115">
        <f t="shared" si="0"/>
        <v>1</v>
      </c>
      <c r="U16" s="115">
        <v>1</v>
      </c>
      <c r="W16" s="115">
        <f t="shared" si="1"/>
        <v>1</v>
      </c>
      <c r="Y16" s="115">
        <v>0</v>
      </c>
      <c r="Z16" s="115">
        <f t="shared" si="2"/>
        <v>1</v>
      </c>
    </row>
    <row r="17" spans="1:26" ht="60.75" customHeight="1" thickBot="1">
      <c r="A17" s="526" t="s">
        <v>1389</v>
      </c>
      <c r="B17" s="331" t="s">
        <v>1197</v>
      </c>
      <c r="C17" s="110">
        <v>1</v>
      </c>
      <c r="D17" s="110">
        <v>0</v>
      </c>
      <c r="E17" s="110">
        <v>0</v>
      </c>
      <c r="F17" s="110">
        <v>1</v>
      </c>
      <c r="G17" s="110">
        <v>0</v>
      </c>
      <c r="H17" s="110">
        <v>5</v>
      </c>
      <c r="I17" s="110">
        <v>5</v>
      </c>
      <c r="J17" s="110">
        <v>0</v>
      </c>
      <c r="K17" s="110">
        <v>1</v>
      </c>
      <c r="L17" s="110">
        <v>0</v>
      </c>
      <c r="M17" s="110">
        <v>1</v>
      </c>
      <c r="N17" s="110">
        <v>0</v>
      </c>
      <c r="O17" s="110">
        <v>0</v>
      </c>
      <c r="Q17" s="115">
        <v>5</v>
      </c>
      <c r="R17" s="115">
        <f t="shared" si="0"/>
        <v>1</v>
      </c>
      <c r="U17" s="115">
        <v>1</v>
      </c>
      <c r="W17" s="115">
        <f t="shared" si="1"/>
        <v>1</v>
      </c>
      <c r="Y17" s="115">
        <v>0</v>
      </c>
      <c r="Z17" s="115">
        <f t="shared" si="2"/>
        <v>1</v>
      </c>
    </row>
    <row r="18" spans="1:13" s="116" customFormat="1" ht="15.75" customHeight="1">
      <c r="A18" s="332"/>
      <c r="B18" s="333"/>
      <c r="C18" s="117"/>
      <c r="D18" s="117"/>
      <c r="E18" s="117"/>
      <c r="I18" s="117"/>
      <c r="J18" s="117"/>
      <c r="K18" s="117"/>
      <c r="L18" s="117"/>
      <c r="M18" s="117"/>
    </row>
  </sheetData>
  <sheetProtection/>
  <mergeCells count="9">
    <mergeCell ref="A6:B7"/>
    <mergeCell ref="A2:I2"/>
    <mergeCell ref="J2:O2"/>
    <mergeCell ref="H3:I3"/>
    <mergeCell ref="A4:B5"/>
    <mergeCell ref="C4:I4"/>
    <mergeCell ref="J4:O4"/>
    <mergeCell ref="C5:I5"/>
    <mergeCell ref="J5:O5"/>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46"/>
  <sheetViews>
    <sheetView showGridLines="0" view="pageBreakPreview" zoomScale="55" zoomScaleNormal="120" zoomScaleSheetLayoutView="55"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L2" sqref="L2:T2"/>
    </sheetView>
  </sheetViews>
  <sheetFormatPr defaultColWidth="9.00390625" defaultRowHeight="16.5"/>
  <cols>
    <col min="1" max="3" width="1.625" style="218" customWidth="1"/>
    <col min="4" max="4" width="12.125" style="218" customWidth="1"/>
    <col min="5" max="5" width="26.375" style="218" customWidth="1"/>
    <col min="6" max="6" width="9.125" style="44" customWidth="1"/>
    <col min="7" max="9" width="6.375" style="44" customWidth="1"/>
    <col min="10" max="11" width="8.25390625" style="44" customWidth="1"/>
    <col min="12" max="12" width="11.125" style="44" customWidth="1"/>
    <col min="13" max="15" width="7.625" style="44" customWidth="1"/>
    <col min="16" max="16" width="8.25390625" style="44" customWidth="1"/>
    <col min="17" max="20" width="10.625" style="44" customWidth="1"/>
    <col min="21" max="21" width="0" style="44" hidden="1" customWidth="1"/>
    <col min="22" max="16384" width="9.00390625" style="44" customWidth="1"/>
  </cols>
  <sheetData>
    <row r="1" spans="1:20" s="218" customFormat="1" ht="18" customHeight="1">
      <c r="A1" s="210" t="s">
        <v>1077</v>
      </c>
      <c r="C1" s="184"/>
      <c r="T1" s="258" t="s">
        <v>49</v>
      </c>
    </row>
    <row r="2" spans="1:20" s="218" customFormat="1" ht="24.75" customHeight="1">
      <c r="A2" s="429"/>
      <c r="B2" s="625" t="s">
        <v>1174</v>
      </c>
      <c r="C2" s="625"/>
      <c r="D2" s="625"/>
      <c r="E2" s="625"/>
      <c r="F2" s="625"/>
      <c r="G2" s="625"/>
      <c r="H2" s="625"/>
      <c r="I2" s="625"/>
      <c r="J2" s="625"/>
      <c r="K2" s="625"/>
      <c r="L2" s="625" t="s">
        <v>84</v>
      </c>
      <c r="M2" s="625"/>
      <c r="N2" s="625"/>
      <c r="O2" s="625"/>
      <c r="P2" s="625"/>
      <c r="Q2" s="625"/>
      <c r="R2" s="625"/>
      <c r="S2" s="625"/>
      <c r="T2" s="625"/>
    </row>
    <row r="3" spans="1:5" s="218" customFormat="1" ht="7.5" customHeight="1" thickBot="1">
      <c r="A3" s="307"/>
      <c r="B3" s="307"/>
      <c r="C3" s="307"/>
      <c r="D3" s="307"/>
      <c r="E3" s="307"/>
    </row>
    <row r="4" spans="1:20" s="218" customFormat="1" ht="13.5" customHeight="1">
      <c r="A4" s="616" t="s">
        <v>771</v>
      </c>
      <c r="B4" s="616"/>
      <c r="C4" s="616"/>
      <c r="D4" s="616"/>
      <c r="E4" s="626"/>
      <c r="F4" s="627" t="s">
        <v>772</v>
      </c>
      <c r="G4" s="628"/>
      <c r="H4" s="628"/>
      <c r="I4" s="628"/>
      <c r="J4" s="628"/>
      <c r="K4" s="629"/>
      <c r="L4" s="630" t="s">
        <v>773</v>
      </c>
      <c r="M4" s="630"/>
      <c r="N4" s="630"/>
      <c r="O4" s="630"/>
      <c r="P4" s="630"/>
      <c r="Q4" s="631"/>
      <c r="R4" s="632" t="s">
        <v>774</v>
      </c>
      <c r="S4" s="630"/>
      <c r="T4" s="630"/>
    </row>
    <row r="5" spans="1:20" s="218" customFormat="1" ht="13.5" customHeight="1">
      <c r="A5" s="616"/>
      <c r="B5" s="616"/>
      <c r="C5" s="616"/>
      <c r="D5" s="616"/>
      <c r="E5" s="626"/>
      <c r="F5" s="633" t="s">
        <v>775</v>
      </c>
      <c r="G5" s="624" t="s">
        <v>776</v>
      </c>
      <c r="H5" s="610"/>
      <c r="I5" s="610"/>
      <c r="J5" s="611"/>
      <c r="K5" s="612" t="s">
        <v>777</v>
      </c>
      <c r="L5" s="636" t="s">
        <v>778</v>
      </c>
      <c r="M5" s="610" t="s">
        <v>776</v>
      </c>
      <c r="N5" s="610"/>
      <c r="O5" s="610"/>
      <c r="P5" s="611"/>
      <c r="Q5" s="612" t="s">
        <v>777</v>
      </c>
      <c r="R5" s="612" t="s">
        <v>778</v>
      </c>
      <c r="S5" s="612" t="s">
        <v>779</v>
      </c>
      <c r="T5" s="618" t="s">
        <v>777</v>
      </c>
    </row>
    <row r="6" spans="1:20" s="218" customFormat="1" ht="13.5" customHeight="1">
      <c r="A6" s="616"/>
      <c r="B6" s="616"/>
      <c r="C6" s="616"/>
      <c r="D6" s="616"/>
      <c r="E6" s="626"/>
      <c r="F6" s="634"/>
      <c r="G6" s="621" t="s">
        <v>85</v>
      </c>
      <c r="H6" s="622"/>
      <c r="I6" s="622"/>
      <c r="J6" s="623"/>
      <c r="K6" s="613"/>
      <c r="L6" s="637"/>
      <c r="M6" s="621" t="s">
        <v>85</v>
      </c>
      <c r="N6" s="622"/>
      <c r="O6" s="622"/>
      <c r="P6" s="623"/>
      <c r="Q6" s="613"/>
      <c r="R6" s="613"/>
      <c r="S6" s="613"/>
      <c r="T6" s="619"/>
    </row>
    <row r="7" spans="1:20" s="218" customFormat="1" ht="13.5" customHeight="1">
      <c r="A7" s="616"/>
      <c r="B7" s="616"/>
      <c r="C7" s="616"/>
      <c r="D7" s="616"/>
      <c r="E7" s="626"/>
      <c r="F7" s="634"/>
      <c r="G7" s="624" t="s">
        <v>780</v>
      </c>
      <c r="H7" s="610"/>
      <c r="I7" s="611"/>
      <c r="J7" s="612" t="s">
        <v>781</v>
      </c>
      <c r="K7" s="613"/>
      <c r="L7" s="637"/>
      <c r="M7" s="624" t="s">
        <v>780</v>
      </c>
      <c r="N7" s="610"/>
      <c r="O7" s="611"/>
      <c r="P7" s="612" t="s">
        <v>781</v>
      </c>
      <c r="Q7" s="613"/>
      <c r="R7" s="613"/>
      <c r="S7" s="613"/>
      <c r="T7" s="619"/>
    </row>
    <row r="8" spans="1:20" s="218" customFormat="1" ht="13.5" customHeight="1">
      <c r="A8" s="253"/>
      <c r="B8" s="253"/>
      <c r="C8" s="253"/>
      <c r="D8" s="253"/>
      <c r="E8" s="428"/>
      <c r="F8" s="634"/>
      <c r="G8" s="615" t="s">
        <v>86</v>
      </c>
      <c r="H8" s="616"/>
      <c r="I8" s="617"/>
      <c r="J8" s="613"/>
      <c r="K8" s="613"/>
      <c r="L8" s="637"/>
      <c r="M8" s="615" t="s">
        <v>86</v>
      </c>
      <c r="N8" s="616"/>
      <c r="O8" s="617"/>
      <c r="P8" s="613"/>
      <c r="Q8" s="613"/>
      <c r="R8" s="613"/>
      <c r="S8" s="613"/>
      <c r="T8" s="619"/>
    </row>
    <row r="9" spans="1:20" s="218" customFormat="1" ht="12.75">
      <c r="A9" s="253"/>
      <c r="B9" s="253"/>
      <c r="C9" s="253"/>
      <c r="D9" s="253"/>
      <c r="E9" s="428"/>
      <c r="F9" s="634"/>
      <c r="G9" s="259" t="s">
        <v>755</v>
      </c>
      <c r="H9" s="260" t="s">
        <v>722</v>
      </c>
      <c r="I9" s="260" t="s">
        <v>723</v>
      </c>
      <c r="J9" s="613" t="s">
        <v>87</v>
      </c>
      <c r="K9" s="613"/>
      <c r="L9" s="637"/>
      <c r="M9" s="259" t="s">
        <v>755</v>
      </c>
      <c r="N9" s="260" t="s">
        <v>722</v>
      </c>
      <c r="O9" s="260" t="s">
        <v>723</v>
      </c>
      <c r="P9" s="613" t="s">
        <v>87</v>
      </c>
      <c r="Q9" s="613"/>
      <c r="R9" s="613"/>
      <c r="S9" s="613"/>
      <c r="T9" s="619"/>
    </row>
    <row r="10" spans="1:20" s="218" customFormat="1" ht="13.5" thickBot="1">
      <c r="A10" s="608" t="s">
        <v>88</v>
      </c>
      <c r="B10" s="608"/>
      <c r="C10" s="608"/>
      <c r="D10" s="608"/>
      <c r="E10" s="609"/>
      <c r="F10" s="635"/>
      <c r="G10" s="438" t="s">
        <v>89</v>
      </c>
      <c r="H10" s="438" t="s">
        <v>90</v>
      </c>
      <c r="I10" s="438" t="s">
        <v>91</v>
      </c>
      <c r="J10" s="614"/>
      <c r="K10" s="614"/>
      <c r="L10" s="638"/>
      <c r="M10" s="438" t="s">
        <v>89</v>
      </c>
      <c r="N10" s="438" t="s">
        <v>90</v>
      </c>
      <c r="O10" s="438" t="s">
        <v>91</v>
      </c>
      <c r="P10" s="614"/>
      <c r="Q10" s="614"/>
      <c r="R10" s="614"/>
      <c r="S10" s="614"/>
      <c r="T10" s="620"/>
    </row>
    <row r="11" spans="1:20" ht="18" customHeight="1">
      <c r="A11" s="607" t="s">
        <v>782</v>
      </c>
      <c r="B11" s="607"/>
      <c r="C11" s="607"/>
      <c r="D11" s="607"/>
      <c r="E11" s="322" t="s">
        <v>93</v>
      </c>
      <c r="F11" s="439">
        <v>277</v>
      </c>
      <c r="G11" s="405">
        <v>270105</v>
      </c>
      <c r="H11" s="440" t="s">
        <v>92</v>
      </c>
      <c r="I11" s="440" t="s">
        <v>92</v>
      </c>
      <c r="J11" s="405">
        <v>633</v>
      </c>
      <c r="K11" s="405">
        <v>69110345</v>
      </c>
      <c r="L11" s="405">
        <v>272</v>
      </c>
      <c r="M11" s="405">
        <f aca="true" t="shared" si="0" ref="M11:O15">G11</f>
        <v>270105</v>
      </c>
      <c r="N11" s="405" t="str">
        <f t="shared" si="0"/>
        <v>…</v>
      </c>
      <c r="O11" s="405" t="str">
        <f t="shared" si="0"/>
        <v>…</v>
      </c>
      <c r="P11" s="405">
        <v>0</v>
      </c>
      <c r="Q11" s="405">
        <v>68247845</v>
      </c>
      <c r="R11" s="405">
        <v>5</v>
      </c>
      <c r="S11" s="405">
        <v>633</v>
      </c>
      <c r="T11" s="405">
        <v>862500</v>
      </c>
    </row>
    <row r="12" spans="1:20" ht="18" customHeight="1">
      <c r="A12" s="607" t="s">
        <v>783</v>
      </c>
      <c r="B12" s="607"/>
      <c r="C12" s="607"/>
      <c r="D12" s="607"/>
      <c r="E12" s="322" t="s">
        <v>94</v>
      </c>
      <c r="F12" s="439">
        <v>256</v>
      </c>
      <c r="G12" s="405">
        <v>205444</v>
      </c>
      <c r="H12" s="405">
        <v>126948</v>
      </c>
      <c r="I12" s="405">
        <f>G12-H12</f>
        <v>78496</v>
      </c>
      <c r="J12" s="405">
        <v>491</v>
      </c>
      <c r="K12" s="405">
        <v>66674800</v>
      </c>
      <c r="L12" s="405">
        <v>251</v>
      </c>
      <c r="M12" s="405">
        <f t="shared" si="0"/>
        <v>205444</v>
      </c>
      <c r="N12" s="405">
        <f t="shared" si="0"/>
        <v>126948</v>
      </c>
      <c r="O12" s="405">
        <f t="shared" si="0"/>
        <v>78496</v>
      </c>
      <c r="P12" s="405">
        <v>0</v>
      </c>
      <c r="Q12" s="405">
        <v>66091200</v>
      </c>
      <c r="R12" s="405">
        <v>5</v>
      </c>
      <c r="S12" s="405">
        <v>491</v>
      </c>
      <c r="T12" s="406">
        <v>583600</v>
      </c>
    </row>
    <row r="13" spans="1:20" ht="18" customHeight="1">
      <c r="A13" s="607" t="s">
        <v>784</v>
      </c>
      <c r="B13" s="607"/>
      <c r="C13" s="607"/>
      <c r="D13" s="607"/>
      <c r="E13" s="322" t="s">
        <v>95</v>
      </c>
      <c r="F13" s="439">
        <v>233</v>
      </c>
      <c r="G13" s="405">
        <v>190768</v>
      </c>
      <c r="H13" s="405">
        <v>119209</v>
      </c>
      <c r="I13" s="405">
        <v>71559</v>
      </c>
      <c r="J13" s="405">
        <v>289</v>
      </c>
      <c r="K13" s="405">
        <v>64858320</v>
      </c>
      <c r="L13" s="405">
        <v>229</v>
      </c>
      <c r="M13" s="405">
        <v>190768</v>
      </c>
      <c r="N13" s="405">
        <v>119209</v>
      </c>
      <c r="O13" s="405">
        <v>71559</v>
      </c>
      <c r="P13" s="405">
        <v>0</v>
      </c>
      <c r="Q13" s="405">
        <v>64272320</v>
      </c>
      <c r="R13" s="405">
        <v>4</v>
      </c>
      <c r="S13" s="405">
        <v>289</v>
      </c>
      <c r="T13" s="405">
        <v>586000</v>
      </c>
    </row>
    <row r="14" spans="1:20" ht="18" customHeight="1">
      <c r="A14" s="607" t="s">
        <v>785</v>
      </c>
      <c r="B14" s="607"/>
      <c r="C14" s="607"/>
      <c r="D14" s="607"/>
      <c r="E14" s="322" t="s">
        <v>96</v>
      </c>
      <c r="F14" s="439">
        <v>222</v>
      </c>
      <c r="G14" s="405">
        <v>179898</v>
      </c>
      <c r="H14" s="405">
        <v>113446</v>
      </c>
      <c r="I14" s="405">
        <f>G14-H14</f>
        <v>66452</v>
      </c>
      <c r="J14" s="405">
        <v>284</v>
      </c>
      <c r="K14" s="405">
        <v>61705830</v>
      </c>
      <c r="L14" s="405">
        <v>218</v>
      </c>
      <c r="M14" s="405">
        <f t="shared" si="0"/>
        <v>179898</v>
      </c>
      <c r="N14" s="405">
        <f t="shared" si="0"/>
        <v>113446</v>
      </c>
      <c r="O14" s="405">
        <f t="shared" si="0"/>
        <v>66452</v>
      </c>
      <c r="P14" s="406">
        <v>26</v>
      </c>
      <c r="Q14" s="405">
        <v>61168230</v>
      </c>
      <c r="R14" s="405">
        <v>4</v>
      </c>
      <c r="S14" s="405">
        <v>258</v>
      </c>
      <c r="T14" s="405">
        <v>537600</v>
      </c>
    </row>
    <row r="15" spans="1:20" ht="18" customHeight="1">
      <c r="A15" s="607" t="s">
        <v>786</v>
      </c>
      <c r="B15" s="607"/>
      <c r="C15" s="607"/>
      <c r="D15" s="607"/>
      <c r="E15" s="322" t="s">
        <v>97</v>
      </c>
      <c r="F15" s="439">
        <v>202</v>
      </c>
      <c r="G15" s="405">
        <v>162590</v>
      </c>
      <c r="H15" s="405">
        <v>104607</v>
      </c>
      <c r="I15" s="405">
        <v>57983</v>
      </c>
      <c r="J15" s="405">
        <v>266</v>
      </c>
      <c r="K15" s="405">
        <v>59084440</v>
      </c>
      <c r="L15" s="405">
        <v>198</v>
      </c>
      <c r="M15" s="405">
        <f t="shared" si="0"/>
        <v>162590</v>
      </c>
      <c r="N15" s="405">
        <f t="shared" si="0"/>
        <v>104607</v>
      </c>
      <c r="O15" s="405">
        <f t="shared" si="0"/>
        <v>57983</v>
      </c>
      <c r="P15" s="406">
        <v>26</v>
      </c>
      <c r="Q15" s="405">
        <v>58570340</v>
      </c>
      <c r="R15" s="405">
        <v>4</v>
      </c>
      <c r="S15" s="405">
        <v>240</v>
      </c>
      <c r="T15" s="405">
        <v>514100</v>
      </c>
    </row>
    <row r="16" spans="1:20" ht="18" customHeight="1">
      <c r="A16" s="607" t="s">
        <v>787</v>
      </c>
      <c r="B16" s="607"/>
      <c r="C16" s="607"/>
      <c r="D16" s="607"/>
      <c r="E16" s="322" t="s">
        <v>98</v>
      </c>
      <c r="F16" s="439">
        <v>186</v>
      </c>
      <c r="G16" s="405">
        <v>152908</v>
      </c>
      <c r="H16" s="405">
        <v>100455</v>
      </c>
      <c r="I16" s="405">
        <v>52453</v>
      </c>
      <c r="J16" s="405">
        <v>233</v>
      </c>
      <c r="K16" s="405">
        <v>61440440</v>
      </c>
      <c r="L16" s="405">
        <v>182</v>
      </c>
      <c r="M16" s="405">
        <v>152908</v>
      </c>
      <c r="N16" s="405">
        <v>100455</v>
      </c>
      <c r="O16" s="405">
        <v>52453</v>
      </c>
      <c r="P16" s="406">
        <v>26</v>
      </c>
      <c r="Q16" s="405">
        <v>60091050</v>
      </c>
      <c r="R16" s="405">
        <v>4</v>
      </c>
      <c r="S16" s="405">
        <v>207</v>
      </c>
      <c r="T16" s="405">
        <v>468300</v>
      </c>
    </row>
    <row r="17" spans="1:20" ht="18" customHeight="1">
      <c r="A17" s="607" t="s">
        <v>788</v>
      </c>
      <c r="B17" s="607"/>
      <c r="C17" s="607"/>
      <c r="D17" s="607"/>
      <c r="E17" s="322" t="s">
        <v>99</v>
      </c>
      <c r="F17" s="439">
        <v>179</v>
      </c>
      <c r="G17" s="405">
        <v>148157</v>
      </c>
      <c r="H17" s="405">
        <v>99227</v>
      </c>
      <c r="I17" s="405">
        <v>48930</v>
      </c>
      <c r="J17" s="405">
        <v>213</v>
      </c>
      <c r="K17" s="405">
        <v>61042580</v>
      </c>
      <c r="L17" s="405">
        <v>175</v>
      </c>
      <c r="M17" s="405">
        <v>148157</v>
      </c>
      <c r="N17" s="405">
        <v>99227</v>
      </c>
      <c r="O17" s="405">
        <v>48930</v>
      </c>
      <c r="P17" s="406">
        <v>26</v>
      </c>
      <c r="Q17" s="405">
        <v>60083580</v>
      </c>
      <c r="R17" s="405">
        <v>4</v>
      </c>
      <c r="S17" s="405">
        <v>187</v>
      </c>
      <c r="T17" s="405">
        <v>959000</v>
      </c>
    </row>
    <row r="18" spans="1:20" ht="18" customHeight="1">
      <c r="A18" s="607" t="s">
        <v>789</v>
      </c>
      <c r="B18" s="607"/>
      <c r="C18" s="607"/>
      <c r="D18" s="607"/>
      <c r="E18" s="322" t="s">
        <v>100</v>
      </c>
      <c r="F18" s="405">
        <v>179</v>
      </c>
      <c r="G18" s="405">
        <v>146318</v>
      </c>
      <c r="H18" s="405">
        <v>98463</v>
      </c>
      <c r="I18" s="405">
        <v>47855</v>
      </c>
      <c r="J18" s="405">
        <v>213</v>
      </c>
      <c r="K18" s="405">
        <v>62745640</v>
      </c>
      <c r="L18" s="405">
        <v>175</v>
      </c>
      <c r="M18" s="405">
        <v>146318</v>
      </c>
      <c r="N18" s="405">
        <v>98463</v>
      </c>
      <c r="O18" s="405">
        <v>47855</v>
      </c>
      <c r="P18" s="405">
        <v>26</v>
      </c>
      <c r="Q18" s="405">
        <v>61786640</v>
      </c>
      <c r="R18" s="405">
        <v>4</v>
      </c>
      <c r="S18" s="405">
        <v>187</v>
      </c>
      <c r="T18" s="405">
        <v>959000</v>
      </c>
    </row>
    <row r="19" spans="1:20" ht="18" customHeight="1">
      <c r="A19" s="607" t="s">
        <v>1199</v>
      </c>
      <c r="B19" s="607"/>
      <c r="C19" s="607"/>
      <c r="D19" s="607"/>
      <c r="E19" s="322" t="s">
        <v>853</v>
      </c>
      <c r="F19" s="405">
        <v>171</v>
      </c>
      <c r="G19" s="405">
        <v>133547</v>
      </c>
      <c r="H19" s="405">
        <v>90424</v>
      </c>
      <c r="I19" s="405">
        <v>43123</v>
      </c>
      <c r="J19" s="405">
        <v>107</v>
      </c>
      <c r="K19" s="405">
        <v>62560540</v>
      </c>
      <c r="L19" s="405">
        <v>168</v>
      </c>
      <c r="M19" s="405">
        <v>133547</v>
      </c>
      <c r="N19" s="405">
        <v>90424</v>
      </c>
      <c r="O19" s="405">
        <v>43123</v>
      </c>
      <c r="P19" s="405">
        <v>26</v>
      </c>
      <c r="Q19" s="405">
        <v>62460640</v>
      </c>
      <c r="R19" s="405">
        <v>3</v>
      </c>
      <c r="S19" s="405">
        <v>81</v>
      </c>
      <c r="T19" s="405">
        <v>99900</v>
      </c>
    </row>
    <row r="20" spans="1:20" ht="18" customHeight="1">
      <c r="A20" s="607" t="s">
        <v>1381</v>
      </c>
      <c r="B20" s="607"/>
      <c r="C20" s="607"/>
      <c r="D20" s="607"/>
      <c r="E20" s="322" t="s">
        <v>1197</v>
      </c>
      <c r="F20" s="439">
        <f>F21+F42</f>
        <v>156</v>
      </c>
      <c r="G20" s="405">
        <f>G21+G42</f>
        <v>130143</v>
      </c>
      <c r="H20" s="405">
        <f>H21+H42</f>
        <v>88907</v>
      </c>
      <c r="I20" s="405">
        <f>I21+I42</f>
        <v>41236</v>
      </c>
      <c r="J20" s="405">
        <f aca="true" t="shared" si="1" ref="J20:T20">J21+J42</f>
        <v>109</v>
      </c>
      <c r="K20" s="405">
        <f>K21+K42</f>
        <v>59131090</v>
      </c>
      <c r="L20" s="405">
        <f t="shared" si="1"/>
        <v>153</v>
      </c>
      <c r="M20" s="405">
        <f t="shared" si="1"/>
        <v>130143</v>
      </c>
      <c r="N20" s="405">
        <f t="shared" si="1"/>
        <v>88907</v>
      </c>
      <c r="O20" s="405">
        <f t="shared" si="1"/>
        <v>41236</v>
      </c>
      <c r="P20" s="405">
        <f t="shared" si="1"/>
        <v>26</v>
      </c>
      <c r="Q20" s="405">
        <f>Q21+Q42</f>
        <v>59031190</v>
      </c>
      <c r="R20" s="405">
        <f t="shared" si="1"/>
        <v>3</v>
      </c>
      <c r="S20" s="405">
        <f t="shared" si="1"/>
        <v>83</v>
      </c>
      <c r="T20" s="405">
        <f t="shared" si="1"/>
        <v>99900</v>
      </c>
    </row>
    <row r="21" spans="2:20" ht="18" customHeight="1">
      <c r="B21" s="605" t="s">
        <v>790</v>
      </c>
      <c r="C21" s="606"/>
      <c r="D21" s="606"/>
      <c r="E21" s="322" t="s">
        <v>101</v>
      </c>
      <c r="F21" s="406">
        <f>SUM(F22,F26,F34)</f>
        <v>125</v>
      </c>
      <c r="G21" s="406">
        <f>SUM(G22,G26,G34)</f>
        <v>128414</v>
      </c>
      <c r="H21" s="406">
        <f>SUM(H22,H26,H34)</f>
        <v>87703</v>
      </c>
      <c r="I21" s="406">
        <f aca="true" t="shared" si="2" ref="I21:S21">SUM(I22,I26,I34)</f>
        <v>40711</v>
      </c>
      <c r="J21" s="406">
        <f t="shared" si="2"/>
        <v>87</v>
      </c>
      <c r="K21" s="406">
        <f>SUM(K22,K26,K34)</f>
        <v>48354690</v>
      </c>
      <c r="L21" s="406">
        <f t="shared" si="2"/>
        <v>123</v>
      </c>
      <c r="M21" s="406">
        <f>SUM(M22,M26,M34)</f>
        <v>128414</v>
      </c>
      <c r="N21" s="406">
        <f t="shared" si="2"/>
        <v>87703</v>
      </c>
      <c r="O21" s="406">
        <f t="shared" si="2"/>
        <v>40711</v>
      </c>
      <c r="P21" s="406">
        <f t="shared" si="2"/>
        <v>26</v>
      </c>
      <c r="Q21" s="406">
        <f>SUM(Q22,Q26,Q34)</f>
        <v>48282790</v>
      </c>
      <c r="R21" s="406">
        <f t="shared" si="2"/>
        <v>2</v>
      </c>
      <c r="S21" s="406">
        <f t="shared" si="2"/>
        <v>61</v>
      </c>
      <c r="T21" s="406">
        <f>SUM(T22,T26,T34,T40,T41)</f>
        <v>71900</v>
      </c>
    </row>
    <row r="22" spans="2:20" ht="18" customHeight="1">
      <c r="B22" s="253"/>
      <c r="C22" s="312" t="s">
        <v>791</v>
      </c>
      <c r="D22" s="312"/>
      <c r="E22" s="442" t="s">
        <v>102</v>
      </c>
      <c r="F22" s="439">
        <f>SUM(F23:F25)</f>
        <v>14</v>
      </c>
      <c r="G22" s="405">
        <f>SUM(G23:G25)</f>
        <v>494</v>
      </c>
      <c r="H22" s="405">
        <f>SUM(H23:H25)</f>
        <v>372</v>
      </c>
      <c r="I22" s="405">
        <f>SUM(I23:I25)</f>
        <v>122</v>
      </c>
      <c r="J22" s="405">
        <v>0</v>
      </c>
      <c r="K22" s="405">
        <f aca="true" t="shared" si="3" ref="K22:Q22">SUM(K23:K25)</f>
        <v>11186000</v>
      </c>
      <c r="L22" s="405">
        <f t="shared" si="3"/>
        <v>14</v>
      </c>
      <c r="M22" s="405">
        <f t="shared" si="3"/>
        <v>494</v>
      </c>
      <c r="N22" s="405">
        <f t="shared" si="3"/>
        <v>372</v>
      </c>
      <c r="O22" s="405">
        <f>SUM(O23:O25)</f>
        <v>122</v>
      </c>
      <c r="P22" s="405">
        <v>0</v>
      </c>
      <c r="Q22" s="405">
        <f t="shared" si="3"/>
        <v>11186000</v>
      </c>
      <c r="R22" s="405">
        <v>0</v>
      </c>
      <c r="S22" s="405">
        <v>0</v>
      </c>
      <c r="T22" s="405">
        <v>0</v>
      </c>
    </row>
    <row r="23" spans="2:20" ht="18" customHeight="1">
      <c r="B23" s="441"/>
      <c r="C23" s="253"/>
      <c r="D23" s="312" t="s">
        <v>792</v>
      </c>
      <c r="E23" s="442" t="s">
        <v>103</v>
      </c>
      <c r="F23" s="439">
        <v>10</v>
      </c>
      <c r="G23" s="406">
        <f>H23+I23</f>
        <v>294</v>
      </c>
      <c r="H23" s="406">
        <v>234</v>
      </c>
      <c r="I23" s="406">
        <v>60</v>
      </c>
      <c r="J23" s="405">
        <v>0</v>
      </c>
      <c r="K23" s="406">
        <v>7234000</v>
      </c>
      <c r="L23" s="405">
        <v>10</v>
      </c>
      <c r="M23" s="406">
        <f>N23+O23</f>
        <v>294</v>
      </c>
      <c r="N23" s="406">
        <v>234</v>
      </c>
      <c r="O23" s="406">
        <v>60</v>
      </c>
      <c r="P23" s="405">
        <v>0</v>
      </c>
      <c r="Q23" s="406">
        <v>7234000</v>
      </c>
      <c r="R23" s="405">
        <v>0</v>
      </c>
      <c r="S23" s="405">
        <v>0</v>
      </c>
      <c r="T23" s="405">
        <v>0</v>
      </c>
    </row>
    <row r="24" spans="2:20" ht="18" customHeight="1">
      <c r="B24" s="441"/>
      <c r="C24" s="253"/>
      <c r="D24" s="312" t="s">
        <v>793</v>
      </c>
      <c r="E24" s="442" t="s">
        <v>104</v>
      </c>
      <c r="F24" s="439">
        <v>4</v>
      </c>
      <c r="G24" s="406">
        <f>H24+I24</f>
        <v>200</v>
      </c>
      <c r="H24" s="406">
        <v>138</v>
      </c>
      <c r="I24" s="406">
        <v>62</v>
      </c>
      <c r="J24" s="405">
        <v>0</v>
      </c>
      <c r="K24" s="406">
        <v>3952000</v>
      </c>
      <c r="L24" s="405">
        <v>4</v>
      </c>
      <c r="M24" s="406">
        <f>N24+O24</f>
        <v>200</v>
      </c>
      <c r="N24" s="406">
        <v>138</v>
      </c>
      <c r="O24" s="406">
        <v>62</v>
      </c>
      <c r="P24" s="405">
        <v>0</v>
      </c>
      <c r="Q24" s="406">
        <v>3952000</v>
      </c>
      <c r="R24" s="405">
        <v>0</v>
      </c>
      <c r="S24" s="405">
        <v>0</v>
      </c>
      <c r="T24" s="405">
        <v>0</v>
      </c>
    </row>
    <row r="25" spans="2:20" ht="18" customHeight="1">
      <c r="B25" s="441"/>
      <c r="C25" s="253"/>
      <c r="D25" s="312" t="s">
        <v>794</v>
      </c>
      <c r="E25" s="442" t="s">
        <v>105</v>
      </c>
      <c r="F25" s="439">
        <v>0</v>
      </c>
      <c r="G25" s="405">
        <v>0</v>
      </c>
      <c r="H25" s="405">
        <v>0</v>
      </c>
      <c r="I25" s="405">
        <v>0</v>
      </c>
      <c r="J25" s="405">
        <v>0</v>
      </c>
      <c r="K25" s="405">
        <v>0</v>
      </c>
      <c r="L25" s="405">
        <v>0</v>
      </c>
      <c r="M25" s="406">
        <f>N25+O25</f>
        <v>0</v>
      </c>
      <c r="N25" s="405">
        <v>0</v>
      </c>
      <c r="O25" s="405">
        <v>0</v>
      </c>
      <c r="P25" s="405">
        <v>0</v>
      </c>
      <c r="Q25" s="405">
        <v>0</v>
      </c>
      <c r="R25" s="405">
        <v>0</v>
      </c>
      <c r="S25" s="405">
        <v>0</v>
      </c>
      <c r="T25" s="405">
        <v>0</v>
      </c>
    </row>
    <row r="26" spans="2:20" ht="18" customHeight="1">
      <c r="B26" s="253"/>
      <c r="C26" s="312" t="s">
        <v>795</v>
      </c>
      <c r="D26" s="253"/>
      <c r="E26" s="442" t="s">
        <v>106</v>
      </c>
      <c r="F26" s="405">
        <f aca="true" t="shared" si="4" ref="F26:T26">SUM(F27:F33)</f>
        <v>18</v>
      </c>
      <c r="G26" s="405">
        <f>SUM(G27:G33)</f>
        <v>1241</v>
      </c>
      <c r="H26" s="405">
        <f>SUM(H27:H33)</f>
        <v>1113</v>
      </c>
      <c r="I26" s="405">
        <f t="shared" si="4"/>
        <v>128</v>
      </c>
      <c r="J26" s="405">
        <f t="shared" si="4"/>
        <v>2</v>
      </c>
      <c r="K26" s="405">
        <f>SUM(K27:K33)</f>
        <v>13582000</v>
      </c>
      <c r="L26" s="405">
        <f t="shared" si="4"/>
        <v>17</v>
      </c>
      <c r="M26" s="405">
        <f t="shared" si="4"/>
        <v>1241</v>
      </c>
      <c r="N26" s="405">
        <f t="shared" si="4"/>
        <v>1113</v>
      </c>
      <c r="O26" s="405">
        <f t="shared" si="4"/>
        <v>128</v>
      </c>
      <c r="P26" s="405">
        <v>0</v>
      </c>
      <c r="Q26" s="405">
        <f t="shared" si="4"/>
        <v>13522000</v>
      </c>
      <c r="R26" s="405">
        <f t="shared" si="4"/>
        <v>1</v>
      </c>
      <c r="S26" s="405">
        <f t="shared" si="4"/>
        <v>2</v>
      </c>
      <c r="T26" s="405">
        <f t="shared" si="4"/>
        <v>60000</v>
      </c>
    </row>
    <row r="27" spans="2:20" ht="18" customHeight="1">
      <c r="B27" s="441"/>
      <c r="C27" s="253"/>
      <c r="D27" s="312" t="s">
        <v>796</v>
      </c>
      <c r="E27" s="442" t="s">
        <v>107</v>
      </c>
      <c r="F27" s="439">
        <v>0</v>
      </c>
      <c r="G27" s="406">
        <v>0</v>
      </c>
      <c r="H27" s="406">
        <v>0</v>
      </c>
      <c r="I27" s="406">
        <v>0</v>
      </c>
      <c r="J27" s="406">
        <v>0</v>
      </c>
      <c r="K27" s="406">
        <v>0</v>
      </c>
      <c r="L27" s="405">
        <v>0</v>
      </c>
      <c r="M27" s="405">
        <f>N27+O27</f>
        <v>0</v>
      </c>
      <c r="N27" s="405">
        <v>0</v>
      </c>
      <c r="O27" s="406">
        <v>0</v>
      </c>
      <c r="P27" s="405">
        <v>0</v>
      </c>
      <c r="Q27" s="405">
        <v>0</v>
      </c>
      <c r="R27" s="405">
        <v>0</v>
      </c>
      <c r="S27" s="405">
        <v>0</v>
      </c>
      <c r="T27" s="405">
        <v>0</v>
      </c>
    </row>
    <row r="28" spans="2:20" ht="18" customHeight="1">
      <c r="B28" s="441"/>
      <c r="C28" s="253"/>
      <c r="D28" s="312" t="s">
        <v>797</v>
      </c>
      <c r="E28" s="442" t="s">
        <v>108</v>
      </c>
      <c r="F28" s="439">
        <v>0</v>
      </c>
      <c r="G28" s="406">
        <v>0</v>
      </c>
      <c r="H28" s="406">
        <v>0</v>
      </c>
      <c r="I28" s="406">
        <v>0</v>
      </c>
      <c r="J28" s="406">
        <v>0</v>
      </c>
      <c r="K28" s="406">
        <v>0</v>
      </c>
      <c r="L28" s="405">
        <v>0</v>
      </c>
      <c r="M28" s="405">
        <f aca="true" t="shared" si="5" ref="M28:M41">N28+O28</f>
        <v>0</v>
      </c>
      <c r="N28" s="405">
        <v>0</v>
      </c>
      <c r="O28" s="406">
        <v>0</v>
      </c>
      <c r="P28" s="405">
        <v>0</v>
      </c>
      <c r="Q28" s="405">
        <v>0</v>
      </c>
      <c r="R28" s="405">
        <v>0</v>
      </c>
      <c r="S28" s="405">
        <v>0</v>
      </c>
      <c r="T28" s="405">
        <v>0</v>
      </c>
    </row>
    <row r="29" spans="2:20" ht="18" customHeight="1">
      <c r="B29" s="441"/>
      <c r="C29" s="253"/>
      <c r="D29" s="312" t="s">
        <v>798</v>
      </c>
      <c r="E29" s="442" t="s">
        <v>109</v>
      </c>
      <c r="F29" s="439">
        <v>0</v>
      </c>
      <c r="G29" s="406">
        <v>0</v>
      </c>
      <c r="H29" s="406">
        <v>0</v>
      </c>
      <c r="I29" s="406">
        <v>0</v>
      </c>
      <c r="J29" s="406">
        <v>0</v>
      </c>
      <c r="K29" s="406">
        <v>0</v>
      </c>
      <c r="L29" s="405">
        <v>0</v>
      </c>
      <c r="M29" s="405">
        <f t="shared" si="5"/>
        <v>0</v>
      </c>
      <c r="N29" s="405">
        <v>0</v>
      </c>
      <c r="O29" s="406">
        <v>0</v>
      </c>
      <c r="P29" s="405">
        <v>0</v>
      </c>
      <c r="Q29" s="405">
        <v>0</v>
      </c>
      <c r="R29" s="405">
        <v>0</v>
      </c>
      <c r="S29" s="405">
        <v>0</v>
      </c>
      <c r="T29" s="405">
        <v>0</v>
      </c>
    </row>
    <row r="30" spans="2:20" ht="18" customHeight="1">
      <c r="B30" s="441"/>
      <c r="C30" s="253"/>
      <c r="D30" s="312" t="s">
        <v>799</v>
      </c>
      <c r="E30" s="442" t="s">
        <v>110</v>
      </c>
      <c r="F30" s="439">
        <v>0</v>
      </c>
      <c r="G30" s="406">
        <v>0</v>
      </c>
      <c r="H30" s="406">
        <v>0</v>
      </c>
      <c r="I30" s="406">
        <v>0</v>
      </c>
      <c r="J30" s="406">
        <v>0</v>
      </c>
      <c r="K30" s="406">
        <v>0</v>
      </c>
      <c r="L30" s="405">
        <v>0</v>
      </c>
      <c r="M30" s="405">
        <f t="shared" si="5"/>
        <v>0</v>
      </c>
      <c r="N30" s="405">
        <v>0</v>
      </c>
      <c r="O30" s="406">
        <v>0</v>
      </c>
      <c r="P30" s="405">
        <v>0</v>
      </c>
      <c r="Q30" s="405">
        <v>0</v>
      </c>
      <c r="R30" s="405">
        <v>0</v>
      </c>
      <c r="S30" s="405">
        <v>0</v>
      </c>
      <c r="T30" s="405">
        <v>0</v>
      </c>
    </row>
    <row r="31" spans="2:20" ht="18" customHeight="1">
      <c r="B31" s="441"/>
      <c r="C31" s="253"/>
      <c r="D31" s="312" t="s">
        <v>800</v>
      </c>
      <c r="E31" s="442" t="s">
        <v>111</v>
      </c>
      <c r="F31" s="439">
        <v>3</v>
      </c>
      <c r="G31" s="406">
        <f>H31+I31</f>
        <v>96</v>
      </c>
      <c r="H31" s="406">
        <v>69</v>
      </c>
      <c r="I31" s="406">
        <v>27</v>
      </c>
      <c r="J31" s="406">
        <v>0</v>
      </c>
      <c r="K31" s="406">
        <v>712000</v>
      </c>
      <c r="L31" s="405">
        <v>3</v>
      </c>
      <c r="M31" s="405">
        <f t="shared" si="5"/>
        <v>96</v>
      </c>
      <c r="N31" s="406">
        <v>69</v>
      </c>
      <c r="O31" s="406">
        <v>27</v>
      </c>
      <c r="P31" s="405">
        <v>0</v>
      </c>
      <c r="Q31" s="406">
        <v>712000</v>
      </c>
      <c r="R31" s="405">
        <v>0</v>
      </c>
      <c r="S31" s="405">
        <v>0</v>
      </c>
      <c r="T31" s="405">
        <v>0</v>
      </c>
    </row>
    <row r="32" spans="2:20" ht="18" customHeight="1">
      <c r="B32" s="441"/>
      <c r="C32" s="253"/>
      <c r="D32" s="312" t="s">
        <v>801</v>
      </c>
      <c r="E32" s="442" t="s">
        <v>112</v>
      </c>
      <c r="F32" s="439">
        <v>8</v>
      </c>
      <c r="G32" s="406">
        <f>H32+I32</f>
        <v>989</v>
      </c>
      <c r="H32" s="406">
        <v>967</v>
      </c>
      <c r="I32" s="406">
        <v>22</v>
      </c>
      <c r="J32" s="405">
        <v>2</v>
      </c>
      <c r="K32" s="406">
        <v>9950000</v>
      </c>
      <c r="L32" s="405">
        <v>7</v>
      </c>
      <c r="M32" s="405">
        <f t="shared" si="5"/>
        <v>989</v>
      </c>
      <c r="N32" s="406">
        <v>967</v>
      </c>
      <c r="O32" s="406">
        <v>22</v>
      </c>
      <c r="P32" s="405">
        <v>0</v>
      </c>
      <c r="Q32" s="406">
        <v>9890000</v>
      </c>
      <c r="R32" s="405">
        <v>1</v>
      </c>
      <c r="S32" s="405">
        <v>2</v>
      </c>
      <c r="T32" s="405">
        <v>60000</v>
      </c>
    </row>
    <row r="33" spans="2:20" ht="18" customHeight="1">
      <c r="B33" s="441"/>
      <c r="C33" s="253"/>
      <c r="D33" s="312" t="s">
        <v>802</v>
      </c>
      <c r="E33" s="442" t="s">
        <v>113</v>
      </c>
      <c r="F33" s="439">
        <v>7</v>
      </c>
      <c r="G33" s="406">
        <f>H33+I33</f>
        <v>156</v>
      </c>
      <c r="H33" s="406">
        <v>77</v>
      </c>
      <c r="I33" s="406">
        <v>79</v>
      </c>
      <c r="J33" s="406">
        <v>0</v>
      </c>
      <c r="K33" s="406">
        <v>2920000</v>
      </c>
      <c r="L33" s="405">
        <v>7</v>
      </c>
      <c r="M33" s="405">
        <f t="shared" si="5"/>
        <v>156</v>
      </c>
      <c r="N33" s="406">
        <v>77</v>
      </c>
      <c r="O33" s="406">
        <v>79</v>
      </c>
      <c r="P33" s="405">
        <v>0</v>
      </c>
      <c r="Q33" s="406">
        <v>2920000</v>
      </c>
      <c r="R33" s="405">
        <v>0</v>
      </c>
      <c r="S33" s="405">
        <v>0</v>
      </c>
      <c r="T33" s="405">
        <v>0</v>
      </c>
    </row>
    <row r="34" spans="2:21" ht="18" customHeight="1">
      <c r="B34" s="253"/>
      <c r="C34" s="312" t="s">
        <v>803</v>
      </c>
      <c r="D34" s="253"/>
      <c r="E34" s="442" t="s">
        <v>114</v>
      </c>
      <c r="F34" s="443">
        <f>SUM(F35:F39)</f>
        <v>93</v>
      </c>
      <c r="G34" s="406">
        <f>H34+I34</f>
        <v>126679</v>
      </c>
      <c r="H34" s="406">
        <f>SUM(H35:H39)</f>
        <v>86218</v>
      </c>
      <c r="I34" s="406">
        <f aca="true" t="shared" si="6" ref="I34:S34">SUM(I35:I39)</f>
        <v>40461</v>
      </c>
      <c r="J34" s="406">
        <f t="shared" si="6"/>
        <v>85</v>
      </c>
      <c r="K34" s="406">
        <f>SUM(K35:K39)</f>
        <v>23586690</v>
      </c>
      <c r="L34" s="406">
        <f t="shared" si="6"/>
        <v>92</v>
      </c>
      <c r="M34" s="406">
        <f>SUM(M35:M39)</f>
        <v>126679</v>
      </c>
      <c r="N34" s="406">
        <f t="shared" si="6"/>
        <v>86218</v>
      </c>
      <c r="O34" s="406">
        <f>SUM(O35:O39)</f>
        <v>40461</v>
      </c>
      <c r="P34" s="406">
        <f t="shared" si="6"/>
        <v>26</v>
      </c>
      <c r="Q34" s="406">
        <f>SUM(Q35:Q39)</f>
        <v>23574790</v>
      </c>
      <c r="R34" s="406">
        <f t="shared" si="6"/>
        <v>1</v>
      </c>
      <c r="S34" s="406">
        <f t="shared" si="6"/>
        <v>59</v>
      </c>
      <c r="T34" s="406">
        <f>SUM(T35:T39)</f>
        <v>11900</v>
      </c>
      <c r="U34" s="444">
        <f>SUM(G35:G39)</f>
        <v>126679</v>
      </c>
    </row>
    <row r="35" spans="2:20" ht="18" customHeight="1">
      <c r="B35" s="441"/>
      <c r="C35" s="253"/>
      <c r="D35" s="312" t="s">
        <v>804</v>
      </c>
      <c r="E35" s="442" t="s">
        <v>115</v>
      </c>
      <c r="F35" s="443">
        <v>1</v>
      </c>
      <c r="G35" s="406">
        <f aca="true" t="shared" si="7" ref="G35:G45">H35+I35</f>
        <v>319</v>
      </c>
      <c r="H35" s="406">
        <v>221</v>
      </c>
      <c r="I35" s="406">
        <v>98</v>
      </c>
      <c r="J35" s="406">
        <v>0</v>
      </c>
      <c r="K35" s="406">
        <v>1595000</v>
      </c>
      <c r="L35" s="406">
        <v>1</v>
      </c>
      <c r="M35" s="405">
        <f t="shared" si="5"/>
        <v>319</v>
      </c>
      <c r="N35" s="406">
        <v>221</v>
      </c>
      <c r="O35" s="406">
        <v>98</v>
      </c>
      <c r="P35" s="405">
        <v>0</v>
      </c>
      <c r="Q35" s="406">
        <v>1595000</v>
      </c>
      <c r="R35" s="405">
        <v>0</v>
      </c>
      <c r="S35" s="405">
        <v>0</v>
      </c>
      <c r="T35" s="405">
        <v>0</v>
      </c>
    </row>
    <row r="36" spans="2:20" ht="18" customHeight="1">
      <c r="B36" s="441"/>
      <c r="C36" s="253"/>
      <c r="D36" s="312" t="s">
        <v>805</v>
      </c>
      <c r="E36" s="322" t="s">
        <v>116</v>
      </c>
      <c r="F36" s="443">
        <v>4</v>
      </c>
      <c r="G36" s="406">
        <f t="shared" si="7"/>
        <v>8013</v>
      </c>
      <c r="H36" s="406">
        <v>5700</v>
      </c>
      <c r="I36" s="406">
        <v>2313</v>
      </c>
      <c r="J36" s="406">
        <v>26</v>
      </c>
      <c r="K36" s="406">
        <v>7544500</v>
      </c>
      <c r="L36" s="406">
        <v>4</v>
      </c>
      <c r="M36" s="405">
        <f t="shared" si="5"/>
        <v>8013</v>
      </c>
      <c r="N36" s="406">
        <v>5700</v>
      </c>
      <c r="O36" s="406">
        <v>2313</v>
      </c>
      <c r="P36" s="406">
        <v>26</v>
      </c>
      <c r="Q36" s="406">
        <v>7544500</v>
      </c>
      <c r="R36" s="405">
        <v>0</v>
      </c>
      <c r="S36" s="405">
        <v>0</v>
      </c>
      <c r="T36" s="405">
        <v>0</v>
      </c>
    </row>
    <row r="37" spans="2:20" ht="18" customHeight="1">
      <c r="B37" s="441"/>
      <c r="C37" s="253"/>
      <c r="D37" s="312" t="s">
        <v>806</v>
      </c>
      <c r="E37" s="322" t="s">
        <v>117</v>
      </c>
      <c r="F37" s="406">
        <v>0</v>
      </c>
      <c r="G37" s="406">
        <f t="shared" si="7"/>
        <v>0</v>
      </c>
      <c r="H37" s="406">
        <v>0</v>
      </c>
      <c r="I37" s="406">
        <v>0</v>
      </c>
      <c r="J37" s="406">
        <v>0</v>
      </c>
      <c r="K37" s="406">
        <v>0</v>
      </c>
      <c r="L37" s="405">
        <v>0</v>
      </c>
      <c r="M37" s="405">
        <f t="shared" si="5"/>
        <v>0</v>
      </c>
      <c r="N37" s="405">
        <v>0</v>
      </c>
      <c r="O37" s="406">
        <v>0</v>
      </c>
      <c r="P37" s="405">
        <v>0</v>
      </c>
      <c r="Q37" s="405">
        <v>0</v>
      </c>
      <c r="R37" s="405">
        <v>0</v>
      </c>
      <c r="S37" s="405">
        <v>0</v>
      </c>
      <c r="T37" s="405">
        <v>0</v>
      </c>
    </row>
    <row r="38" spans="2:20" ht="18" customHeight="1">
      <c r="B38" s="441"/>
      <c r="C38" s="253"/>
      <c r="D38" s="312" t="s">
        <v>807</v>
      </c>
      <c r="E38" s="322" t="s">
        <v>118</v>
      </c>
      <c r="F38" s="443">
        <v>29</v>
      </c>
      <c r="G38" s="406">
        <f t="shared" si="7"/>
        <v>15991</v>
      </c>
      <c r="H38" s="406">
        <v>10402</v>
      </c>
      <c r="I38" s="406">
        <v>5589</v>
      </c>
      <c r="J38" s="406">
        <v>0</v>
      </c>
      <c r="K38" s="406">
        <v>8907070</v>
      </c>
      <c r="L38" s="406">
        <v>29</v>
      </c>
      <c r="M38" s="405">
        <f t="shared" si="5"/>
        <v>15991</v>
      </c>
      <c r="N38" s="406">
        <v>10402</v>
      </c>
      <c r="O38" s="406">
        <v>5589</v>
      </c>
      <c r="P38" s="405">
        <v>0</v>
      </c>
      <c r="Q38" s="406">
        <v>8907070</v>
      </c>
      <c r="R38" s="405">
        <v>0</v>
      </c>
      <c r="S38" s="405">
        <v>0</v>
      </c>
      <c r="T38" s="405">
        <v>0</v>
      </c>
    </row>
    <row r="39" spans="2:20" ht="18" customHeight="1">
      <c r="B39" s="441"/>
      <c r="C39" s="253"/>
      <c r="D39" s="312" t="s">
        <v>808</v>
      </c>
      <c r="E39" s="322" t="s">
        <v>119</v>
      </c>
      <c r="F39" s="443">
        <v>59</v>
      </c>
      <c r="G39" s="406">
        <f t="shared" si="7"/>
        <v>102356</v>
      </c>
      <c r="H39" s="406">
        <v>69895</v>
      </c>
      <c r="I39" s="406">
        <v>32461</v>
      </c>
      <c r="J39" s="406">
        <v>59</v>
      </c>
      <c r="K39" s="406">
        <v>5540120</v>
      </c>
      <c r="L39" s="406">
        <v>58</v>
      </c>
      <c r="M39" s="405">
        <f t="shared" si="5"/>
        <v>102356</v>
      </c>
      <c r="N39" s="406">
        <v>69895</v>
      </c>
      <c r="O39" s="406">
        <v>32461</v>
      </c>
      <c r="P39" s="405">
        <v>0</v>
      </c>
      <c r="Q39" s="406">
        <v>5528220</v>
      </c>
      <c r="R39" s="405">
        <v>1</v>
      </c>
      <c r="S39" s="405">
        <v>59</v>
      </c>
      <c r="T39" s="405">
        <v>11900</v>
      </c>
    </row>
    <row r="40" spans="2:20" ht="18" customHeight="1">
      <c r="B40" s="253"/>
      <c r="C40" s="312" t="s">
        <v>809</v>
      </c>
      <c r="D40" s="312"/>
      <c r="E40" s="322" t="s">
        <v>120</v>
      </c>
      <c r="F40" s="443">
        <v>0</v>
      </c>
      <c r="G40" s="406">
        <f t="shared" si="7"/>
        <v>0</v>
      </c>
      <c r="H40" s="406">
        <v>0</v>
      </c>
      <c r="I40" s="406">
        <v>0</v>
      </c>
      <c r="J40" s="406">
        <v>0</v>
      </c>
      <c r="K40" s="406">
        <v>0</v>
      </c>
      <c r="L40" s="406">
        <v>0</v>
      </c>
      <c r="M40" s="405">
        <f t="shared" si="5"/>
        <v>0</v>
      </c>
      <c r="N40" s="406">
        <v>0</v>
      </c>
      <c r="O40" s="406">
        <v>0</v>
      </c>
      <c r="P40" s="406">
        <v>0</v>
      </c>
      <c r="Q40" s="406">
        <v>0</v>
      </c>
      <c r="R40" s="405">
        <v>0</v>
      </c>
      <c r="S40" s="405">
        <v>0</v>
      </c>
      <c r="T40" s="405">
        <v>0</v>
      </c>
    </row>
    <row r="41" spans="2:20" ht="18" customHeight="1">
      <c r="B41" s="253"/>
      <c r="C41" s="312" t="s">
        <v>810</v>
      </c>
      <c r="D41" s="312"/>
      <c r="E41" s="322" t="s">
        <v>121</v>
      </c>
      <c r="F41" s="443">
        <v>0</v>
      </c>
      <c r="G41" s="406">
        <f t="shared" si="7"/>
        <v>0</v>
      </c>
      <c r="H41" s="406">
        <v>0</v>
      </c>
      <c r="I41" s="406">
        <v>0</v>
      </c>
      <c r="J41" s="406">
        <v>0</v>
      </c>
      <c r="K41" s="406">
        <v>0</v>
      </c>
      <c r="L41" s="406">
        <v>0</v>
      </c>
      <c r="M41" s="405">
        <f t="shared" si="5"/>
        <v>0</v>
      </c>
      <c r="N41" s="406">
        <v>0</v>
      </c>
      <c r="O41" s="406">
        <v>0</v>
      </c>
      <c r="P41" s="406">
        <v>0</v>
      </c>
      <c r="Q41" s="406">
        <v>0</v>
      </c>
      <c r="R41" s="405">
        <v>0</v>
      </c>
      <c r="S41" s="405">
        <v>0</v>
      </c>
      <c r="T41" s="405">
        <v>0</v>
      </c>
    </row>
    <row r="42" spans="2:20" ht="18" customHeight="1">
      <c r="B42" s="312" t="s">
        <v>811</v>
      </c>
      <c r="C42" s="253"/>
      <c r="D42" s="312"/>
      <c r="E42" s="322" t="s">
        <v>122</v>
      </c>
      <c r="F42" s="439">
        <f>SUM(F43:F45)</f>
        <v>31</v>
      </c>
      <c r="G42" s="406">
        <f t="shared" si="7"/>
        <v>1729</v>
      </c>
      <c r="H42" s="405">
        <v>1204</v>
      </c>
      <c r="I42" s="405">
        <v>525</v>
      </c>
      <c r="J42" s="405">
        <f aca="true" t="shared" si="8" ref="J42:T42">SUM(J43:J45)</f>
        <v>22</v>
      </c>
      <c r="K42" s="405">
        <f t="shared" si="8"/>
        <v>10776400</v>
      </c>
      <c r="L42" s="405">
        <f t="shared" si="8"/>
        <v>30</v>
      </c>
      <c r="M42" s="405">
        <f t="shared" si="8"/>
        <v>1729</v>
      </c>
      <c r="N42" s="405">
        <f t="shared" si="8"/>
        <v>1204</v>
      </c>
      <c r="O42" s="405">
        <f t="shared" si="8"/>
        <v>525</v>
      </c>
      <c r="P42" s="406">
        <v>0</v>
      </c>
      <c r="Q42" s="405">
        <f t="shared" si="8"/>
        <v>10748400</v>
      </c>
      <c r="R42" s="405">
        <f t="shared" si="8"/>
        <v>1</v>
      </c>
      <c r="S42" s="405">
        <f t="shared" si="8"/>
        <v>22</v>
      </c>
      <c r="T42" s="405">
        <f t="shared" si="8"/>
        <v>28000</v>
      </c>
    </row>
    <row r="43" spans="2:20" ht="18" customHeight="1">
      <c r="B43" s="312"/>
      <c r="C43" s="312" t="s">
        <v>812</v>
      </c>
      <c r="D43" s="312"/>
      <c r="E43" s="322" t="s">
        <v>123</v>
      </c>
      <c r="F43" s="439">
        <v>0</v>
      </c>
      <c r="G43" s="406">
        <f t="shared" si="7"/>
        <v>0</v>
      </c>
      <c r="H43" s="405">
        <v>0</v>
      </c>
      <c r="I43" s="405">
        <v>0</v>
      </c>
      <c r="J43" s="405">
        <v>0</v>
      </c>
      <c r="K43" s="405">
        <v>0</v>
      </c>
      <c r="L43" s="406">
        <v>0</v>
      </c>
      <c r="M43" s="406">
        <v>0</v>
      </c>
      <c r="N43" s="406">
        <v>0</v>
      </c>
      <c r="O43" s="406">
        <v>0</v>
      </c>
      <c r="P43" s="406">
        <v>0</v>
      </c>
      <c r="Q43" s="406">
        <v>0</v>
      </c>
      <c r="R43" s="405">
        <v>0</v>
      </c>
      <c r="S43" s="405">
        <v>0</v>
      </c>
      <c r="T43" s="405">
        <v>0</v>
      </c>
    </row>
    <row r="44" spans="2:20" ht="18" customHeight="1">
      <c r="B44" s="312"/>
      <c r="C44" s="312" t="s">
        <v>813</v>
      </c>
      <c r="D44" s="312"/>
      <c r="E44" s="322" t="s">
        <v>124</v>
      </c>
      <c r="F44" s="439">
        <v>2</v>
      </c>
      <c r="G44" s="406">
        <f t="shared" si="7"/>
        <v>473</v>
      </c>
      <c r="H44" s="405">
        <v>298</v>
      </c>
      <c r="I44" s="405">
        <v>175</v>
      </c>
      <c r="J44" s="405">
        <v>0</v>
      </c>
      <c r="K44" s="406">
        <v>918000</v>
      </c>
      <c r="L44" s="405">
        <v>2</v>
      </c>
      <c r="M44" s="405">
        <f>N44+O44</f>
        <v>473</v>
      </c>
      <c r="N44" s="406">
        <v>298</v>
      </c>
      <c r="O44" s="406">
        <v>175</v>
      </c>
      <c r="P44" s="405">
        <v>0</v>
      </c>
      <c r="Q44" s="405">
        <v>918000</v>
      </c>
      <c r="R44" s="405">
        <v>0</v>
      </c>
      <c r="S44" s="405">
        <v>0</v>
      </c>
      <c r="T44" s="405">
        <v>0</v>
      </c>
    </row>
    <row r="45" spans="1:20" ht="18" customHeight="1" thickBot="1">
      <c r="A45" s="307"/>
      <c r="B45" s="445"/>
      <c r="C45" s="445" t="s">
        <v>814</v>
      </c>
      <c r="D45" s="445"/>
      <c r="E45" s="446" t="s">
        <v>125</v>
      </c>
      <c r="F45" s="447">
        <v>29</v>
      </c>
      <c r="G45" s="408">
        <f t="shared" si="7"/>
        <v>1256</v>
      </c>
      <c r="H45" s="407">
        <v>906</v>
      </c>
      <c r="I45" s="407">
        <v>350</v>
      </c>
      <c r="J45" s="407">
        <v>22</v>
      </c>
      <c r="K45" s="408">
        <v>9858400</v>
      </c>
      <c r="L45" s="407">
        <v>28</v>
      </c>
      <c r="M45" s="407">
        <f>N45+O45</f>
        <v>1256</v>
      </c>
      <c r="N45" s="408">
        <v>906</v>
      </c>
      <c r="O45" s="408">
        <v>350</v>
      </c>
      <c r="P45" s="407">
        <v>0</v>
      </c>
      <c r="Q45" s="408">
        <v>9830400</v>
      </c>
      <c r="R45" s="407">
        <v>1</v>
      </c>
      <c r="S45" s="407">
        <v>22</v>
      </c>
      <c r="T45" s="407">
        <v>28000</v>
      </c>
    </row>
    <row r="46" spans="1:12" s="218" customFormat="1" ht="12.75" customHeight="1">
      <c r="A46" s="184" t="s">
        <v>1080</v>
      </c>
      <c r="L46" s="247" t="s">
        <v>126</v>
      </c>
    </row>
  </sheetData>
  <sheetProtection/>
  <mergeCells count="37">
    <mergeCell ref="B2:K2"/>
    <mergeCell ref="L2:T2"/>
    <mergeCell ref="A4:E7"/>
    <mergeCell ref="F4:K4"/>
    <mergeCell ref="L4:Q4"/>
    <mergeCell ref="R4:T4"/>
    <mergeCell ref="F5:F10"/>
    <mergeCell ref="G5:J5"/>
    <mergeCell ref="K5:K10"/>
    <mergeCell ref="L5:L10"/>
    <mergeCell ref="S5:S10"/>
    <mergeCell ref="T5:T10"/>
    <mergeCell ref="G6:J6"/>
    <mergeCell ref="M6:P6"/>
    <mergeCell ref="G7:I7"/>
    <mergeCell ref="J7:J8"/>
    <mergeCell ref="M7:O7"/>
    <mergeCell ref="P9:P10"/>
    <mergeCell ref="A11:D11"/>
    <mergeCell ref="A12:D12"/>
    <mergeCell ref="M5:P5"/>
    <mergeCell ref="Q5:Q10"/>
    <mergeCell ref="R5:R10"/>
    <mergeCell ref="P7:P8"/>
    <mergeCell ref="G8:I8"/>
    <mergeCell ref="M8:O8"/>
    <mergeCell ref="J9:J10"/>
    <mergeCell ref="B21:D21"/>
    <mergeCell ref="A19:D19"/>
    <mergeCell ref="A14:D14"/>
    <mergeCell ref="A10:E10"/>
    <mergeCell ref="A13:D13"/>
    <mergeCell ref="A15:D15"/>
    <mergeCell ref="A16:D16"/>
    <mergeCell ref="A17:D17"/>
    <mergeCell ref="A18:D18"/>
    <mergeCell ref="A20:D20"/>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ignoredErrors>
    <ignoredError sqref="F34 I34:L34 N34:T34" formulaRange="1"/>
    <ignoredError sqref="G34 M26 M34" formula="1"/>
    <ignoredError sqref="H34" formula="1" formulaRange="1"/>
  </ignoredErrors>
</worksheet>
</file>

<file path=xl/worksheets/sheet6.xml><?xml version="1.0" encoding="utf-8"?>
<worksheet xmlns="http://schemas.openxmlformats.org/spreadsheetml/2006/main" xmlns:r="http://schemas.openxmlformats.org/officeDocument/2006/relationships">
  <dimension ref="A1:Y35"/>
  <sheetViews>
    <sheetView showGridLines="0" view="pageBreakPreview" zoomScale="70" zoomScaleNormal="85" zoomScaleSheetLayoutView="70" zoomScalePageLayoutView="0" workbookViewId="0" topLeftCell="A1">
      <pane xSplit="1" ySplit="8" topLeftCell="B11" activePane="bottomRight" state="frozen"/>
      <selection pane="topLeft" activeCell="A1" sqref="A1"/>
      <selection pane="topRight" activeCell="A1" sqref="A1"/>
      <selection pane="bottomLeft" activeCell="A1" sqref="A1"/>
      <selection pane="bottomRight" activeCell="K2" sqref="K2:W2"/>
    </sheetView>
  </sheetViews>
  <sheetFormatPr defaultColWidth="9.00390625" defaultRowHeight="16.5"/>
  <cols>
    <col min="1" max="1" width="19.25390625" style="218" customWidth="1"/>
    <col min="2" max="7" width="7.25390625" style="44" customWidth="1"/>
    <col min="8" max="9" width="8.75390625" style="44" customWidth="1"/>
    <col min="10" max="10" width="7.375" style="44" customWidth="1"/>
    <col min="11" max="14" width="6.50390625" style="44" customWidth="1"/>
    <col min="15" max="18" width="6.625" style="44" customWidth="1"/>
    <col min="19" max="19" width="6.75390625" style="44" customWidth="1"/>
    <col min="20" max="21" width="6.625" style="44" customWidth="1"/>
    <col min="22" max="23" width="7.875" style="44" customWidth="1"/>
    <col min="24" max="24" width="9.00390625" style="44" customWidth="1"/>
    <col min="25" max="25" width="0" style="44" hidden="1" customWidth="1"/>
    <col min="26" max="16384" width="9.00390625" style="44" customWidth="1"/>
  </cols>
  <sheetData>
    <row r="1" spans="1:23" s="218" customFormat="1" ht="18" customHeight="1">
      <c r="A1" s="210" t="s">
        <v>1077</v>
      </c>
      <c r="V1" s="657" t="s">
        <v>127</v>
      </c>
      <c r="W1" s="657"/>
    </row>
    <row r="2" spans="1:23" s="309" customFormat="1" ht="24.75" customHeight="1">
      <c r="A2" s="658" t="s">
        <v>1439</v>
      </c>
      <c r="B2" s="658"/>
      <c r="C2" s="658"/>
      <c r="D2" s="658"/>
      <c r="E2" s="658"/>
      <c r="F2" s="658"/>
      <c r="G2" s="658"/>
      <c r="H2" s="658"/>
      <c r="I2" s="659"/>
      <c r="J2" s="659"/>
      <c r="K2" s="658" t="s">
        <v>128</v>
      </c>
      <c r="L2" s="658"/>
      <c r="M2" s="658"/>
      <c r="N2" s="658"/>
      <c r="O2" s="658"/>
      <c r="P2" s="658"/>
      <c r="Q2" s="658"/>
      <c r="R2" s="658"/>
      <c r="S2" s="658"/>
      <c r="T2" s="658"/>
      <c r="U2" s="658"/>
      <c r="V2" s="658"/>
      <c r="W2" s="658"/>
    </row>
    <row r="3" spans="1:21" s="218" customFormat="1" ht="9.75" customHeight="1" thickBot="1">
      <c r="A3" s="307"/>
      <c r="B3" s="307"/>
      <c r="C3" s="307"/>
      <c r="D3" s="307"/>
      <c r="E3" s="307"/>
      <c r="F3" s="307"/>
      <c r="G3" s="307"/>
      <c r="H3" s="307"/>
      <c r="I3" s="307"/>
      <c r="J3" s="307"/>
      <c r="K3" s="307"/>
      <c r="L3" s="307"/>
      <c r="M3" s="307"/>
      <c r="N3" s="307"/>
      <c r="O3" s="307"/>
      <c r="P3" s="307"/>
      <c r="Q3" s="307"/>
      <c r="R3" s="307"/>
      <c r="S3" s="307"/>
      <c r="T3" s="307"/>
      <c r="U3" s="307"/>
    </row>
    <row r="4" spans="1:25" s="184" customFormat="1" ht="24.75" customHeight="1">
      <c r="A4" s="660" t="s">
        <v>1440</v>
      </c>
      <c r="B4" s="661" t="s">
        <v>1441</v>
      </c>
      <c r="C4" s="663" t="s">
        <v>1442</v>
      </c>
      <c r="D4" s="647" t="s">
        <v>1443</v>
      </c>
      <c r="E4" s="647" t="s">
        <v>1444</v>
      </c>
      <c r="F4" s="647" t="s">
        <v>1445</v>
      </c>
      <c r="G4" s="647" t="s">
        <v>1446</v>
      </c>
      <c r="H4" s="645" t="s">
        <v>1447</v>
      </c>
      <c r="I4" s="646"/>
      <c r="J4" s="647" t="s">
        <v>1448</v>
      </c>
      <c r="K4" s="649" t="s">
        <v>1449</v>
      </c>
      <c r="L4" s="649"/>
      <c r="M4" s="649"/>
      <c r="N4" s="649"/>
      <c r="O4" s="649"/>
      <c r="P4" s="649"/>
      <c r="Q4" s="649"/>
      <c r="R4" s="649"/>
      <c r="S4" s="649"/>
      <c r="T4" s="649"/>
      <c r="U4" s="649"/>
      <c r="V4" s="649"/>
      <c r="W4" s="649"/>
      <c r="Y4" s="409"/>
    </row>
    <row r="5" spans="1:23" s="312" customFormat="1" ht="24.75" customHeight="1">
      <c r="A5" s="641"/>
      <c r="B5" s="662"/>
      <c r="C5" s="664"/>
      <c r="D5" s="648"/>
      <c r="E5" s="648"/>
      <c r="F5" s="648"/>
      <c r="G5" s="648"/>
      <c r="H5" s="650" t="s">
        <v>129</v>
      </c>
      <c r="I5" s="651"/>
      <c r="J5" s="648"/>
      <c r="K5" s="652" t="s">
        <v>130</v>
      </c>
      <c r="L5" s="652"/>
      <c r="M5" s="652"/>
      <c r="N5" s="652"/>
      <c r="O5" s="652"/>
      <c r="P5" s="652"/>
      <c r="Q5" s="652"/>
      <c r="R5" s="652"/>
      <c r="S5" s="652"/>
      <c r="T5" s="652"/>
      <c r="U5" s="652"/>
      <c r="V5" s="652"/>
      <c r="W5" s="652"/>
    </row>
    <row r="6" spans="1:23" s="184" customFormat="1" ht="49.5" customHeight="1">
      <c r="A6" s="641"/>
      <c r="B6" s="313" t="s">
        <v>1450</v>
      </c>
      <c r="C6" s="310" t="s">
        <v>1451</v>
      </c>
      <c r="D6" s="310" t="s">
        <v>1452</v>
      </c>
      <c r="E6" s="310" t="s">
        <v>1453</v>
      </c>
      <c r="F6" s="310" t="s">
        <v>1452</v>
      </c>
      <c r="G6" s="310" t="s">
        <v>1450</v>
      </c>
      <c r="H6" s="314" t="s">
        <v>1454</v>
      </c>
      <c r="I6" s="314" t="s">
        <v>1455</v>
      </c>
      <c r="J6" s="311" t="s">
        <v>1456</v>
      </c>
      <c r="K6" s="315" t="s">
        <v>1457</v>
      </c>
      <c r="L6" s="315" t="s">
        <v>1458</v>
      </c>
      <c r="M6" s="314" t="s">
        <v>1459</v>
      </c>
      <c r="N6" s="314" t="s">
        <v>1460</v>
      </c>
      <c r="O6" s="314" t="s">
        <v>1461</v>
      </c>
      <c r="P6" s="316" t="s">
        <v>1462</v>
      </c>
      <c r="Q6" s="653" t="s">
        <v>1463</v>
      </c>
      <c r="R6" s="654"/>
      <c r="S6" s="315" t="s">
        <v>1464</v>
      </c>
      <c r="T6" s="314" t="s">
        <v>1465</v>
      </c>
      <c r="U6" s="316" t="s">
        <v>1466</v>
      </c>
      <c r="V6" s="655" t="s">
        <v>1467</v>
      </c>
      <c r="W6" s="656"/>
    </row>
    <row r="7" spans="1:23" s="184" customFormat="1" ht="46.5" customHeight="1">
      <c r="A7" s="641" t="s">
        <v>131</v>
      </c>
      <c r="B7" s="643" t="s">
        <v>132</v>
      </c>
      <c r="C7" s="639" t="s">
        <v>133</v>
      </c>
      <c r="D7" s="639" t="s">
        <v>134</v>
      </c>
      <c r="E7" s="639" t="s">
        <v>135</v>
      </c>
      <c r="F7" s="639" t="s">
        <v>136</v>
      </c>
      <c r="G7" s="639" t="s">
        <v>137</v>
      </c>
      <c r="H7" s="639" t="s">
        <v>138</v>
      </c>
      <c r="I7" s="639" t="s">
        <v>139</v>
      </c>
      <c r="J7" s="639" t="s">
        <v>140</v>
      </c>
      <c r="K7" s="317" t="s">
        <v>865</v>
      </c>
      <c r="L7" s="317" t="s">
        <v>865</v>
      </c>
      <c r="M7" s="310" t="s">
        <v>866</v>
      </c>
      <c r="N7" s="310" t="s">
        <v>867</v>
      </c>
      <c r="O7" s="310" t="s">
        <v>868</v>
      </c>
      <c r="P7" s="318" t="s">
        <v>869</v>
      </c>
      <c r="Q7" s="314" t="s">
        <v>870</v>
      </c>
      <c r="R7" s="314" t="s">
        <v>871</v>
      </c>
      <c r="S7" s="311" t="s">
        <v>872</v>
      </c>
      <c r="T7" s="310" t="s">
        <v>873</v>
      </c>
      <c r="U7" s="318" t="s">
        <v>874</v>
      </c>
      <c r="V7" s="314" t="s">
        <v>1193</v>
      </c>
      <c r="W7" s="316" t="s">
        <v>1192</v>
      </c>
    </row>
    <row r="8" spans="1:25" s="184" customFormat="1" ht="64.5" customHeight="1" thickBot="1">
      <c r="A8" s="642"/>
      <c r="B8" s="644"/>
      <c r="C8" s="640"/>
      <c r="D8" s="640"/>
      <c r="E8" s="640"/>
      <c r="F8" s="640"/>
      <c r="G8" s="640"/>
      <c r="H8" s="640"/>
      <c r="I8" s="640"/>
      <c r="J8" s="640"/>
      <c r="K8" s="320" t="s">
        <v>141</v>
      </c>
      <c r="L8" s="320" t="s">
        <v>142</v>
      </c>
      <c r="M8" s="319" t="s">
        <v>143</v>
      </c>
      <c r="N8" s="319" t="s">
        <v>144</v>
      </c>
      <c r="O8" s="319" t="s">
        <v>145</v>
      </c>
      <c r="P8" s="321" t="s">
        <v>146</v>
      </c>
      <c r="Q8" s="319" t="s">
        <v>147</v>
      </c>
      <c r="R8" s="319" t="s">
        <v>148</v>
      </c>
      <c r="S8" s="319" t="s">
        <v>149</v>
      </c>
      <c r="T8" s="319" t="s">
        <v>150</v>
      </c>
      <c r="U8" s="321" t="s">
        <v>151</v>
      </c>
      <c r="V8" s="319" t="s">
        <v>152</v>
      </c>
      <c r="W8" s="321" t="s">
        <v>153</v>
      </c>
      <c r="Y8" s="409" t="s">
        <v>1378</v>
      </c>
    </row>
    <row r="9" spans="1:23" s="79" customFormat="1" ht="20.25" customHeight="1">
      <c r="A9" s="247" t="s">
        <v>763</v>
      </c>
      <c r="B9" s="149">
        <v>234</v>
      </c>
      <c r="C9" s="150">
        <v>399232</v>
      </c>
      <c r="D9" s="150">
        <v>1400129</v>
      </c>
      <c r="E9" s="448" t="s">
        <v>154</v>
      </c>
      <c r="F9" s="150">
        <v>41550</v>
      </c>
      <c r="G9" s="150">
        <v>220</v>
      </c>
      <c r="H9" s="150">
        <v>103188454</v>
      </c>
      <c r="I9" s="150">
        <v>28440674</v>
      </c>
      <c r="J9" s="150">
        <v>198</v>
      </c>
      <c r="K9" s="150">
        <v>2498</v>
      </c>
      <c r="L9" s="150">
        <v>13802</v>
      </c>
      <c r="M9" s="150">
        <v>113</v>
      </c>
      <c r="N9" s="150">
        <v>214</v>
      </c>
      <c r="O9" s="150">
        <v>27</v>
      </c>
      <c r="P9" s="150">
        <v>137</v>
      </c>
      <c r="Q9" s="150">
        <v>100</v>
      </c>
      <c r="R9" s="448" t="s">
        <v>154</v>
      </c>
      <c r="S9" s="448" t="s">
        <v>154</v>
      </c>
      <c r="T9" s="150">
        <v>38</v>
      </c>
      <c r="U9" s="150">
        <v>32</v>
      </c>
      <c r="V9" s="448" t="s">
        <v>154</v>
      </c>
      <c r="W9" s="448" t="s">
        <v>154</v>
      </c>
    </row>
    <row r="10" spans="1:23" s="79" customFormat="1" ht="20.25" customHeight="1">
      <c r="A10" s="247" t="s">
        <v>764</v>
      </c>
      <c r="B10" s="149">
        <v>238</v>
      </c>
      <c r="C10" s="150">
        <v>443538</v>
      </c>
      <c r="D10" s="150">
        <v>1366528</v>
      </c>
      <c r="E10" s="448" t="s">
        <v>154</v>
      </c>
      <c r="F10" s="150">
        <v>42070</v>
      </c>
      <c r="G10" s="150">
        <v>256</v>
      </c>
      <c r="H10" s="150">
        <v>61554178</v>
      </c>
      <c r="I10" s="150">
        <v>85327337</v>
      </c>
      <c r="J10" s="150">
        <v>205</v>
      </c>
      <c r="K10" s="150">
        <v>2733</v>
      </c>
      <c r="L10" s="150">
        <v>17921</v>
      </c>
      <c r="M10" s="150">
        <v>126</v>
      </c>
      <c r="N10" s="150">
        <v>216</v>
      </c>
      <c r="O10" s="150">
        <v>27</v>
      </c>
      <c r="P10" s="150">
        <v>121</v>
      </c>
      <c r="Q10" s="150">
        <v>99</v>
      </c>
      <c r="R10" s="448" t="s">
        <v>154</v>
      </c>
      <c r="S10" s="448" t="s">
        <v>154</v>
      </c>
      <c r="T10" s="150">
        <v>44</v>
      </c>
      <c r="U10" s="150">
        <v>47</v>
      </c>
      <c r="V10" s="448" t="s">
        <v>154</v>
      </c>
      <c r="W10" s="448" t="s">
        <v>154</v>
      </c>
    </row>
    <row r="11" spans="1:23" s="79" customFormat="1" ht="20.25" customHeight="1">
      <c r="A11" s="247" t="s">
        <v>765</v>
      </c>
      <c r="B11" s="149">
        <v>239</v>
      </c>
      <c r="C11" s="150">
        <v>467148</v>
      </c>
      <c r="D11" s="150">
        <v>1409638</v>
      </c>
      <c r="E11" s="448" t="s">
        <v>154</v>
      </c>
      <c r="F11" s="150">
        <v>45551</v>
      </c>
      <c r="G11" s="150">
        <v>260</v>
      </c>
      <c r="H11" s="150">
        <v>62574397</v>
      </c>
      <c r="I11" s="150">
        <v>35857990</v>
      </c>
      <c r="J11" s="150">
        <v>208</v>
      </c>
      <c r="K11" s="150">
        <v>2371</v>
      </c>
      <c r="L11" s="150">
        <v>19020</v>
      </c>
      <c r="M11" s="150">
        <v>104</v>
      </c>
      <c r="N11" s="150">
        <v>208</v>
      </c>
      <c r="O11" s="150">
        <v>26</v>
      </c>
      <c r="P11" s="150">
        <v>126</v>
      </c>
      <c r="Q11" s="150">
        <v>106</v>
      </c>
      <c r="R11" s="448" t="s">
        <v>154</v>
      </c>
      <c r="S11" s="448" t="s">
        <v>154</v>
      </c>
      <c r="T11" s="150">
        <v>34</v>
      </c>
      <c r="U11" s="150">
        <v>41</v>
      </c>
      <c r="V11" s="448" t="s">
        <v>154</v>
      </c>
      <c r="W11" s="448" t="s">
        <v>154</v>
      </c>
    </row>
    <row r="12" spans="1:23" s="79" customFormat="1" ht="20.25" customHeight="1">
      <c r="A12" s="247" t="s">
        <v>766</v>
      </c>
      <c r="B12" s="149">
        <v>239</v>
      </c>
      <c r="C12" s="150">
        <v>466186</v>
      </c>
      <c r="D12" s="150">
        <v>1385194</v>
      </c>
      <c r="E12" s="448" t="s">
        <v>154</v>
      </c>
      <c r="F12" s="150">
        <v>44219</v>
      </c>
      <c r="G12" s="150">
        <v>259</v>
      </c>
      <c r="H12" s="150">
        <v>71178437</v>
      </c>
      <c r="I12" s="150">
        <v>72104423</v>
      </c>
      <c r="J12" s="150">
        <v>205</v>
      </c>
      <c r="K12" s="150">
        <v>3521</v>
      </c>
      <c r="L12" s="150">
        <v>20197</v>
      </c>
      <c r="M12" s="150">
        <v>98</v>
      </c>
      <c r="N12" s="150">
        <v>222</v>
      </c>
      <c r="O12" s="150">
        <v>26</v>
      </c>
      <c r="P12" s="150">
        <v>121</v>
      </c>
      <c r="Q12" s="150">
        <v>104</v>
      </c>
      <c r="R12" s="448" t="s">
        <v>154</v>
      </c>
      <c r="S12" s="448" t="s">
        <v>154</v>
      </c>
      <c r="T12" s="150">
        <v>24</v>
      </c>
      <c r="U12" s="150">
        <v>37</v>
      </c>
      <c r="V12" s="448" t="s">
        <v>154</v>
      </c>
      <c r="W12" s="448" t="s">
        <v>154</v>
      </c>
    </row>
    <row r="13" spans="1:23" s="79" customFormat="1" ht="20.25" customHeight="1">
      <c r="A13" s="247" t="s">
        <v>767</v>
      </c>
      <c r="B13" s="149">
        <v>239</v>
      </c>
      <c r="C13" s="150">
        <v>490255</v>
      </c>
      <c r="D13" s="150">
        <v>1438800</v>
      </c>
      <c r="E13" s="150">
        <v>4155</v>
      </c>
      <c r="F13" s="150">
        <v>44659</v>
      </c>
      <c r="G13" s="150">
        <v>272</v>
      </c>
      <c r="H13" s="150">
        <v>102533509</v>
      </c>
      <c r="I13" s="150">
        <v>90150913</v>
      </c>
      <c r="J13" s="150">
        <v>197</v>
      </c>
      <c r="K13" s="150">
        <v>6993</v>
      </c>
      <c r="L13" s="150">
        <v>27837</v>
      </c>
      <c r="M13" s="150">
        <v>77</v>
      </c>
      <c r="N13" s="150">
        <v>215</v>
      </c>
      <c r="O13" s="150">
        <v>24</v>
      </c>
      <c r="P13" s="150">
        <v>274</v>
      </c>
      <c r="Q13" s="150">
        <v>170</v>
      </c>
      <c r="R13" s="150">
        <v>7241</v>
      </c>
      <c r="S13" s="150">
        <v>58</v>
      </c>
      <c r="T13" s="150">
        <v>28</v>
      </c>
      <c r="U13" s="150">
        <v>94</v>
      </c>
      <c r="V13" s="150">
        <v>311656</v>
      </c>
      <c r="W13" s="150">
        <v>174153</v>
      </c>
    </row>
    <row r="14" spans="1:23" s="79" customFormat="1" ht="20.25" customHeight="1">
      <c r="A14" s="247" t="s">
        <v>768</v>
      </c>
      <c r="B14" s="149">
        <v>239</v>
      </c>
      <c r="C14" s="150">
        <v>484581</v>
      </c>
      <c r="D14" s="150">
        <v>1411596</v>
      </c>
      <c r="E14" s="150">
        <v>4109</v>
      </c>
      <c r="F14" s="150">
        <v>44839</v>
      </c>
      <c r="G14" s="150">
        <v>271</v>
      </c>
      <c r="H14" s="150">
        <v>94795997</v>
      </c>
      <c r="I14" s="150">
        <v>88116251</v>
      </c>
      <c r="J14" s="150">
        <v>196</v>
      </c>
      <c r="K14" s="150">
        <v>5915</v>
      </c>
      <c r="L14" s="150">
        <v>27761</v>
      </c>
      <c r="M14" s="150">
        <v>93</v>
      </c>
      <c r="N14" s="150">
        <v>198</v>
      </c>
      <c r="O14" s="150">
        <v>24</v>
      </c>
      <c r="P14" s="150">
        <v>240</v>
      </c>
      <c r="Q14" s="150">
        <v>168</v>
      </c>
      <c r="R14" s="150">
        <v>7604</v>
      </c>
      <c r="S14" s="150">
        <v>66</v>
      </c>
      <c r="T14" s="150">
        <v>22</v>
      </c>
      <c r="U14" s="150">
        <v>85</v>
      </c>
      <c r="V14" s="150">
        <v>563042</v>
      </c>
      <c r="W14" s="150">
        <v>281185</v>
      </c>
    </row>
    <row r="15" spans="1:23" s="79" customFormat="1" ht="20.25" customHeight="1">
      <c r="A15" s="247" t="s">
        <v>769</v>
      </c>
      <c r="B15" s="149">
        <v>242</v>
      </c>
      <c r="C15" s="150">
        <v>499041</v>
      </c>
      <c r="D15" s="150">
        <v>1433063</v>
      </c>
      <c r="E15" s="150">
        <v>4121</v>
      </c>
      <c r="F15" s="150">
        <v>45210</v>
      </c>
      <c r="G15" s="150">
        <v>269</v>
      </c>
      <c r="H15" s="150">
        <v>104551815</v>
      </c>
      <c r="I15" s="150">
        <v>89628204</v>
      </c>
      <c r="J15" s="150">
        <v>230</v>
      </c>
      <c r="K15" s="150">
        <v>6439</v>
      </c>
      <c r="L15" s="150">
        <v>34647</v>
      </c>
      <c r="M15" s="150">
        <v>70</v>
      </c>
      <c r="N15" s="150">
        <v>335</v>
      </c>
      <c r="O15" s="150">
        <v>24</v>
      </c>
      <c r="P15" s="150">
        <v>284</v>
      </c>
      <c r="Q15" s="150">
        <v>168</v>
      </c>
      <c r="R15" s="150">
        <v>7545</v>
      </c>
      <c r="S15" s="150">
        <v>81</v>
      </c>
      <c r="T15" s="150">
        <v>32</v>
      </c>
      <c r="U15" s="150">
        <v>87</v>
      </c>
      <c r="V15" s="150">
        <v>471222</v>
      </c>
      <c r="W15" s="150">
        <v>495739</v>
      </c>
    </row>
    <row r="16" spans="1:23" s="79" customFormat="1" ht="20.25" customHeight="1">
      <c r="A16" s="247" t="s">
        <v>770</v>
      </c>
      <c r="B16" s="149">
        <v>248</v>
      </c>
      <c r="C16" s="150">
        <v>513584</v>
      </c>
      <c r="D16" s="150">
        <v>1469796</v>
      </c>
      <c r="E16" s="150">
        <v>4203</v>
      </c>
      <c r="F16" s="150">
        <v>45848</v>
      </c>
      <c r="G16" s="150">
        <v>230</v>
      </c>
      <c r="H16" s="150">
        <v>97434985</v>
      </c>
      <c r="I16" s="150">
        <v>81408849</v>
      </c>
      <c r="J16" s="150">
        <v>206</v>
      </c>
      <c r="K16" s="150">
        <v>7934</v>
      </c>
      <c r="L16" s="150">
        <v>30214</v>
      </c>
      <c r="M16" s="150">
        <v>40</v>
      </c>
      <c r="N16" s="150">
        <v>415</v>
      </c>
      <c r="O16" s="150">
        <v>49</v>
      </c>
      <c r="P16" s="150">
        <v>272</v>
      </c>
      <c r="Q16" s="150">
        <v>215</v>
      </c>
      <c r="R16" s="150">
        <v>8844</v>
      </c>
      <c r="S16" s="150">
        <v>94</v>
      </c>
      <c r="T16" s="150">
        <v>29</v>
      </c>
      <c r="U16" s="150">
        <v>101</v>
      </c>
      <c r="V16" s="150">
        <v>582677</v>
      </c>
      <c r="W16" s="150">
        <v>259954</v>
      </c>
    </row>
    <row r="17" spans="1:23" s="79" customFormat="1" ht="20.25" customHeight="1">
      <c r="A17" s="247" t="s">
        <v>864</v>
      </c>
      <c r="B17" s="149">
        <v>258</v>
      </c>
      <c r="C17" s="150">
        <v>537186</v>
      </c>
      <c r="D17" s="150">
        <v>1522504</v>
      </c>
      <c r="E17" s="150">
        <v>4453</v>
      </c>
      <c r="F17" s="150">
        <v>46996</v>
      </c>
      <c r="G17" s="150">
        <v>248</v>
      </c>
      <c r="H17" s="150">
        <v>116694768</v>
      </c>
      <c r="I17" s="150">
        <v>77747465</v>
      </c>
      <c r="J17" s="150">
        <v>213</v>
      </c>
      <c r="K17" s="150">
        <v>8478</v>
      </c>
      <c r="L17" s="150">
        <v>28100</v>
      </c>
      <c r="M17" s="150">
        <v>32</v>
      </c>
      <c r="N17" s="150">
        <v>477</v>
      </c>
      <c r="O17" s="150">
        <v>64</v>
      </c>
      <c r="P17" s="150">
        <v>282</v>
      </c>
      <c r="Q17" s="150">
        <v>221</v>
      </c>
      <c r="R17" s="150">
        <v>8507</v>
      </c>
      <c r="S17" s="150">
        <v>109</v>
      </c>
      <c r="T17" s="150">
        <v>34</v>
      </c>
      <c r="U17" s="150">
        <v>124</v>
      </c>
      <c r="V17" s="150" t="s">
        <v>1214</v>
      </c>
      <c r="W17" s="150" t="s">
        <v>1215</v>
      </c>
    </row>
    <row r="18" spans="1:25" s="79" customFormat="1" ht="20.25" customHeight="1">
      <c r="A18" s="247" t="s">
        <v>1200</v>
      </c>
      <c r="B18" s="149">
        <f>SUM(B19:B31)</f>
        <v>264</v>
      </c>
      <c r="C18" s="150">
        <f>SUM(C19:C31)</f>
        <v>609262</v>
      </c>
      <c r="D18" s="150">
        <f>SUM(D19:D31)</f>
        <v>1707678</v>
      </c>
      <c r="E18" s="150">
        <f aca="true" t="shared" si="0" ref="E18:W18">SUM(E19:E31)</f>
        <v>4545</v>
      </c>
      <c r="F18" s="150">
        <f t="shared" si="0"/>
        <v>49249</v>
      </c>
      <c r="G18" s="150">
        <f t="shared" si="0"/>
        <v>248</v>
      </c>
      <c r="H18" s="150">
        <f>SUM(H19:H31)</f>
        <v>156187120</v>
      </c>
      <c r="I18" s="150">
        <f>SUM(I19:I31)</f>
        <v>84261618</v>
      </c>
      <c r="J18" s="150">
        <f t="shared" si="0"/>
        <v>214</v>
      </c>
      <c r="K18" s="150">
        <f t="shared" si="0"/>
        <v>6886</v>
      </c>
      <c r="L18" s="150">
        <f t="shared" si="0"/>
        <v>27770</v>
      </c>
      <c r="M18" s="150">
        <f t="shared" si="0"/>
        <v>33</v>
      </c>
      <c r="N18" s="150">
        <f t="shared" si="0"/>
        <v>529</v>
      </c>
      <c r="O18" s="150">
        <f t="shared" si="0"/>
        <v>47</v>
      </c>
      <c r="P18" s="150">
        <f t="shared" si="0"/>
        <v>303</v>
      </c>
      <c r="Q18" s="150">
        <f t="shared" si="0"/>
        <v>212</v>
      </c>
      <c r="R18" s="150">
        <f t="shared" si="0"/>
        <v>9418</v>
      </c>
      <c r="S18" s="150">
        <f t="shared" si="0"/>
        <v>132</v>
      </c>
      <c r="T18" s="150">
        <f t="shared" si="0"/>
        <v>30</v>
      </c>
      <c r="U18" s="150">
        <f t="shared" si="0"/>
        <v>92</v>
      </c>
      <c r="V18" s="150">
        <f t="shared" si="0"/>
        <v>706866</v>
      </c>
      <c r="W18" s="150">
        <f t="shared" si="0"/>
        <v>257263</v>
      </c>
      <c r="X18" s="150"/>
      <c r="Y18" s="150"/>
    </row>
    <row r="19" spans="1:23" ht="20.25" customHeight="1">
      <c r="A19" s="265" t="s">
        <v>731</v>
      </c>
      <c r="B19" s="149">
        <v>17</v>
      </c>
      <c r="C19" s="150">
        <v>96710</v>
      </c>
      <c r="D19" s="150">
        <v>255404</v>
      </c>
      <c r="E19" s="150">
        <v>317</v>
      </c>
      <c r="F19" s="150">
        <v>3149</v>
      </c>
      <c r="G19" s="150">
        <v>11</v>
      </c>
      <c r="H19" s="150">
        <v>8564986</v>
      </c>
      <c r="I19" s="150">
        <v>11092355</v>
      </c>
      <c r="J19" s="150">
        <v>12</v>
      </c>
      <c r="K19" s="150">
        <v>343</v>
      </c>
      <c r="L19" s="150">
        <v>1779</v>
      </c>
      <c r="M19" s="150">
        <v>6</v>
      </c>
      <c r="N19" s="150">
        <v>37</v>
      </c>
      <c r="O19" s="150">
        <v>0</v>
      </c>
      <c r="P19" s="150">
        <v>22</v>
      </c>
      <c r="Q19" s="150">
        <v>12</v>
      </c>
      <c r="R19" s="150">
        <v>532</v>
      </c>
      <c r="S19" s="150">
        <v>7</v>
      </c>
      <c r="T19" s="150">
        <v>3</v>
      </c>
      <c r="U19" s="150">
        <v>5</v>
      </c>
      <c r="V19" s="150">
        <v>31939</v>
      </c>
      <c r="W19" s="150">
        <v>7650</v>
      </c>
    </row>
    <row r="20" spans="1:23" ht="20.25" customHeight="1">
      <c r="A20" s="265" t="s">
        <v>732</v>
      </c>
      <c r="B20" s="149">
        <v>19</v>
      </c>
      <c r="C20" s="150">
        <v>63401</v>
      </c>
      <c r="D20" s="150">
        <v>172964</v>
      </c>
      <c r="E20" s="150">
        <v>291</v>
      </c>
      <c r="F20" s="150">
        <v>2697</v>
      </c>
      <c r="G20" s="150">
        <v>12</v>
      </c>
      <c r="H20" s="150">
        <v>12159691</v>
      </c>
      <c r="I20" s="150">
        <v>3980907</v>
      </c>
      <c r="J20" s="150">
        <v>13</v>
      </c>
      <c r="K20" s="150">
        <v>583</v>
      </c>
      <c r="L20" s="150">
        <v>2196</v>
      </c>
      <c r="M20" s="150">
        <v>0</v>
      </c>
      <c r="N20" s="150">
        <v>60</v>
      </c>
      <c r="O20" s="150">
        <v>1</v>
      </c>
      <c r="P20" s="150">
        <v>13</v>
      </c>
      <c r="Q20" s="150">
        <v>16</v>
      </c>
      <c r="R20" s="150">
        <v>672</v>
      </c>
      <c r="S20" s="150">
        <v>11</v>
      </c>
      <c r="T20" s="150">
        <v>3</v>
      </c>
      <c r="U20" s="150">
        <v>0</v>
      </c>
      <c r="V20" s="150">
        <v>57127</v>
      </c>
      <c r="W20" s="150">
        <v>24801</v>
      </c>
    </row>
    <row r="21" spans="1:23" ht="20.25" customHeight="1">
      <c r="A21" s="265" t="s">
        <v>733</v>
      </c>
      <c r="B21" s="149">
        <v>21</v>
      </c>
      <c r="C21" s="150">
        <v>28927</v>
      </c>
      <c r="D21" s="150">
        <v>91416</v>
      </c>
      <c r="E21" s="150">
        <v>306</v>
      </c>
      <c r="F21" s="150">
        <v>3395</v>
      </c>
      <c r="G21" s="150">
        <v>17</v>
      </c>
      <c r="H21" s="150">
        <v>6035578</v>
      </c>
      <c r="I21" s="150">
        <v>2688946</v>
      </c>
      <c r="J21" s="150">
        <v>20</v>
      </c>
      <c r="K21" s="150">
        <v>682</v>
      </c>
      <c r="L21" s="150">
        <v>2214</v>
      </c>
      <c r="M21" s="150">
        <v>3</v>
      </c>
      <c r="N21" s="150">
        <v>35</v>
      </c>
      <c r="O21" s="150">
        <v>4</v>
      </c>
      <c r="P21" s="150">
        <v>12</v>
      </c>
      <c r="Q21" s="150">
        <v>14</v>
      </c>
      <c r="R21" s="150">
        <v>489</v>
      </c>
      <c r="S21" s="150">
        <v>7</v>
      </c>
      <c r="T21" s="150">
        <v>3</v>
      </c>
      <c r="U21" s="150">
        <v>4</v>
      </c>
      <c r="V21" s="150">
        <v>48558</v>
      </c>
      <c r="W21" s="150">
        <v>6721</v>
      </c>
    </row>
    <row r="22" spans="1:23" ht="20.25" customHeight="1">
      <c r="A22" s="265" t="s">
        <v>734</v>
      </c>
      <c r="B22" s="149">
        <v>17</v>
      </c>
      <c r="C22" s="150">
        <v>40451</v>
      </c>
      <c r="D22" s="150">
        <v>117351</v>
      </c>
      <c r="E22" s="150">
        <v>260</v>
      </c>
      <c r="F22" s="150">
        <v>3364</v>
      </c>
      <c r="G22" s="150">
        <v>15</v>
      </c>
      <c r="H22" s="150">
        <v>14473964</v>
      </c>
      <c r="I22" s="150">
        <v>3735500</v>
      </c>
      <c r="J22" s="150">
        <v>15</v>
      </c>
      <c r="K22" s="150">
        <v>301</v>
      </c>
      <c r="L22" s="150">
        <v>1787</v>
      </c>
      <c r="M22" s="150">
        <v>7</v>
      </c>
      <c r="N22" s="150">
        <v>53</v>
      </c>
      <c r="O22" s="150">
        <v>1</v>
      </c>
      <c r="P22" s="150">
        <v>11</v>
      </c>
      <c r="Q22" s="150">
        <v>15</v>
      </c>
      <c r="R22" s="150">
        <v>582</v>
      </c>
      <c r="S22" s="150">
        <v>9</v>
      </c>
      <c r="T22" s="150">
        <v>0</v>
      </c>
      <c r="U22" s="150">
        <v>0</v>
      </c>
      <c r="V22" s="150">
        <v>100324</v>
      </c>
      <c r="W22" s="150">
        <v>15649</v>
      </c>
    </row>
    <row r="23" spans="1:23" ht="20.25" customHeight="1">
      <c r="A23" s="265" t="s">
        <v>735</v>
      </c>
      <c r="B23" s="149">
        <v>33</v>
      </c>
      <c r="C23" s="150">
        <v>64615</v>
      </c>
      <c r="D23" s="150">
        <v>178266</v>
      </c>
      <c r="E23" s="150">
        <v>659</v>
      </c>
      <c r="F23" s="150">
        <v>9545</v>
      </c>
      <c r="G23" s="150">
        <v>26</v>
      </c>
      <c r="H23" s="150">
        <v>18347027</v>
      </c>
      <c r="I23" s="150">
        <v>17884230</v>
      </c>
      <c r="J23" s="150">
        <v>26</v>
      </c>
      <c r="K23" s="150">
        <v>1658</v>
      </c>
      <c r="L23" s="150">
        <v>4395</v>
      </c>
      <c r="M23" s="150">
        <v>0</v>
      </c>
      <c r="N23" s="150">
        <v>44</v>
      </c>
      <c r="O23" s="150">
        <v>23</v>
      </c>
      <c r="P23" s="150">
        <v>124</v>
      </c>
      <c r="Q23" s="150">
        <v>35</v>
      </c>
      <c r="R23" s="150">
        <v>1950</v>
      </c>
      <c r="S23" s="150">
        <v>18</v>
      </c>
      <c r="T23" s="150">
        <v>5</v>
      </c>
      <c r="U23" s="150">
        <v>16</v>
      </c>
      <c r="V23" s="150">
        <v>79516</v>
      </c>
      <c r="W23" s="150">
        <v>39457</v>
      </c>
    </row>
    <row r="24" spans="1:23" ht="20.25" customHeight="1">
      <c r="A24" s="265" t="s">
        <v>736</v>
      </c>
      <c r="B24" s="149">
        <v>18</v>
      </c>
      <c r="C24" s="150">
        <v>32311</v>
      </c>
      <c r="D24" s="150">
        <v>88485</v>
      </c>
      <c r="E24" s="150">
        <v>316</v>
      </c>
      <c r="F24" s="150">
        <v>3170</v>
      </c>
      <c r="G24" s="150">
        <v>16</v>
      </c>
      <c r="H24" s="150">
        <v>21032427</v>
      </c>
      <c r="I24" s="150">
        <v>13576113</v>
      </c>
      <c r="J24" s="150">
        <v>19</v>
      </c>
      <c r="K24" s="150">
        <v>608</v>
      </c>
      <c r="L24" s="150">
        <v>3185</v>
      </c>
      <c r="M24" s="150">
        <v>4</v>
      </c>
      <c r="N24" s="150">
        <v>49</v>
      </c>
      <c r="O24" s="150">
        <v>7</v>
      </c>
      <c r="P24" s="150">
        <v>19</v>
      </c>
      <c r="Q24" s="150">
        <v>16</v>
      </c>
      <c r="R24" s="150">
        <v>988</v>
      </c>
      <c r="S24" s="150">
        <v>15</v>
      </c>
      <c r="T24" s="150">
        <v>3</v>
      </c>
      <c r="U24" s="150">
        <v>12</v>
      </c>
      <c r="V24" s="150">
        <v>57229</v>
      </c>
      <c r="W24" s="150">
        <v>48690</v>
      </c>
    </row>
    <row r="25" spans="1:23" ht="20.25" customHeight="1">
      <c r="A25" s="265" t="s">
        <v>737</v>
      </c>
      <c r="B25" s="149">
        <v>29</v>
      </c>
      <c r="C25" s="150">
        <v>61323</v>
      </c>
      <c r="D25" s="150">
        <v>157633</v>
      </c>
      <c r="E25" s="150">
        <v>459</v>
      </c>
      <c r="F25" s="150">
        <v>4582</v>
      </c>
      <c r="G25" s="150">
        <v>26</v>
      </c>
      <c r="H25" s="150">
        <v>6679188</v>
      </c>
      <c r="I25" s="150">
        <v>2474087</v>
      </c>
      <c r="J25" s="150">
        <v>17</v>
      </c>
      <c r="K25" s="150">
        <v>80</v>
      </c>
      <c r="L25" s="150">
        <v>2858</v>
      </c>
      <c r="M25" s="150">
        <v>2</v>
      </c>
      <c r="N25" s="150">
        <v>110</v>
      </c>
      <c r="O25" s="150">
        <v>0</v>
      </c>
      <c r="P25" s="150">
        <v>20</v>
      </c>
      <c r="Q25" s="150">
        <v>8</v>
      </c>
      <c r="R25" s="150">
        <v>674</v>
      </c>
      <c r="S25" s="150">
        <v>6</v>
      </c>
      <c r="T25" s="150">
        <v>2</v>
      </c>
      <c r="U25" s="150">
        <v>12</v>
      </c>
      <c r="V25" s="150">
        <v>61115</v>
      </c>
      <c r="W25" s="150">
        <v>10893</v>
      </c>
    </row>
    <row r="26" spans="1:23" ht="20.25" customHeight="1">
      <c r="A26" s="265" t="s">
        <v>738</v>
      </c>
      <c r="B26" s="149">
        <v>21</v>
      </c>
      <c r="C26" s="150">
        <v>70297</v>
      </c>
      <c r="D26" s="150">
        <v>202783</v>
      </c>
      <c r="E26" s="150">
        <v>382</v>
      </c>
      <c r="F26" s="150">
        <v>3877</v>
      </c>
      <c r="G26" s="150">
        <v>15</v>
      </c>
      <c r="H26" s="150">
        <v>9803260</v>
      </c>
      <c r="I26" s="150">
        <v>7014331</v>
      </c>
      <c r="J26" s="150">
        <v>11</v>
      </c>
      <c r="K26" s="150">
        <v>395</v>
      </c>
      <c r="L26" s="150">
        <v>1709</v>
      </c>
      <c r="M26" s="150">
        <v>1</v>
      </c>
      <c r="N26" s="150">
        <v>22</v>
      </c>
      <c r="O26" s="150">
        <v>2</v>
      </c>
      <c r="P26" s="150">
        <v>16</v>
      </c>
      <c r="Q26" s="150">
        <v>15</v>
      </c>
      <c r="R26" s="150">
        <v>594</v>
      </c>
      <c r="S26" s="150">
        <v>8</v>
      </c>
      <c r="T26" s="150">
        <v>3</v>
      </c>
      <c r="U26" s="150">
        <v>4</v>
      </c>
      <c r="V26" s="150">
        <v>32764</v>
      </c>
      <c r="W26" s="150">
        <v>17620</v>
      </c>
    </row>
    <row r="27" spans="1:23" ht="20.25" customHeight="1">
      <c r="A27" s="265" t="s">
        <v>739</v>
      </c>
      <c r="B27" s="149">
        <v>16</v>
      </c>
      <c r="C27" s="150">
        <v>38811</v>
      </c>
      <c r="D27" s="150">
        <v>118248</v>
      </c>
      <c r="E27" s="150">
        <v>285</v>
      </c>
      <c r="F27" s="150">
        <v>2914</v>
      </c>
      <c r="G27" s="150">
        <v>19</v>
      </c>
      <c r="H27" s="150">
        <v>24806932</v>
      </c>
      <c r="I27" s="150">
        <v>2020696</v>
      </c>
      <c r="J27" s="150">
        <v>13</v>
      </c>
      <c r="K27" s="150">
        <v>715</v>
      </c>
      <c r="L27" s="150">
        <v>1599</v>
      </c>
      <c r="M27" s="150">
        <v>1</v>
      </c>
      <c r="N27" s="150">
        <v>25</v>
      </c>
      <c r="O27" s="150">
        <v>3</v>
      </c>
      <c r="P27" s="150">
        <v>22</v>
      </c>
      <c r="Q27" s="150">
        <v>21</v>
      </c>
      <c r="R27" s="150">
        <v>737</v>
      </c>
      <c r="S27" s="150">
        <v>16</v>
      </c>
      <c r="T27" s="150">
        <v>2</v>
      </c>
      <c r="U27" s="150">
        <v>32</v>
      </c>
      <c r="V27" s="150">
        <v>123745</v>
      </c>
      <c r="W27" s="150">
        <v>26617</v>
      </c>
    </row>
    <row r="28" spans="1:23" ht="20.25" customHeight="1">
      <c r="A28" s="265" t="s">
        <v>740</v>
      </c>
      <c r="B28" s="149">
        <v>16</v>
      </c>
      <c r="C28" s="150">
        <v>69896</v>
      </c>
      <c r="D28" s="150">
        <v>199154</v>
      </c>
      <c r="E28" s="150">
        <v>285</v>
      </c>
      <c r="F28" s="150">
        <v>2631</v>
      </c>
      <c r="G28" s="150">
        <v>17</v>
      </c>
      <c r="H28" s="150">
        <v>13805302</v>
      </c>
      <c r="I28" s="150">
        <v>5136117</v>
      </c>
      <c r="J28" s="150">
        <v>10</v>
      </c>
      <c r="K28" s="150">
        <v>891</v>
      </c>
      <c r="L28" s="150">
        <v>1431</v>
      </c>
      <c r="M28" s="150">
        <v>7</v>
      </c>
      <c r="N28" s="150">
        <v>49</v>
      </c>
      <c r="O28" s="150">
        <v>1</v>
      </c>
      <c r="P28" s="150">
        <v>13</v>
      </c>
      <c r="Q28" s="150">
        <v>17</v>
      </c>
      <c r="R28" s="150">
        <v>769</v>
      </c>
      <c r="S28" s="150">
        <v>9</v>
      </c>
      <c r="T28" s="150">
        <v>4</v>
      </c>
      <c r="U28" s="150">
        <v>2</v>
      </c>
      <c r="V28" s="150">
        <v>47810</v>
      </c>
      <c r="W28" s="150">
        <v>33979</v>
      </c>
    </row>
    <row r="29" spans="1:23" ht="20.25" customHeight="1">
      <c r="A29" s="265" t="s">
        <v>741</v>
      </c>
      <c r="B29" s="149">
        <v>23</v>
      </c>
      <c r="C29" s="150">
        <v>16273</v>
      </c>
      <c r="D29" s="150">
        <v>48935</v>
      </c>
      <c r="E29" s="150">
        <v>438</v>
      </c>
      <c r="F29" s="150">
        <v>4444</v>
      </c>
      <c r="G29" s="150">
        <v>42</v>
      </c>
      <c r="H29" s="150">
        <v>6506080</v>
      </c>
      <c r="I29" s="150">
        <v>9078364</v>
      </c>
      <c r="J29" s="150">
        <v>23</v>
      </c>
      <c r="K29" s="150">
        <v>146</v>
      </c>
      <c r="L29" s="150">
        <v>2034</v>
      </c>
      <c r="M29" s="150">
        <v>1</v>
      </c>
      <c r="N29" s="150">
        <v>38</v>
      </c>
      <c r="O29" s="150">
        <v>0</v>
      </c>
      <c r="P29" s="150">
        <v>18</v>
      </c>
      <c r="Q29" s="150">
        <v>17</v>
      </c>
      <c r="R29" s="150">
        <v>536</v>
      </c>
      <c r="S29" s="150">
        <v>9</v>
      </c>
      <c r="T29" s="150">
        <v>2</v>
      </c>
      <c r="U29" s="150">
        <v>5</v>
      </c>
      <c r="V29" s="150">
        <v>27084</v>
      </c>
      <c r="W29" s="150">
        <v>5537</v>
      </c>
    </row>
    <row r="30" spans="1:23" ht="20.25" customHeight="1">
      <c r="A30" s="265" t="s">
        <v>742</v>
      </c>
      <c r="B30" s="149">
        <v>24</v>
      </c>
      <c r="C30" s="150">
        <v>22689</v>
      </c>
      <c r="D30" s="150">
        <v>66402</v>
      </c>
      <c r="E30" s="150">
        <v>420</v>
      </c>
      <c r="F30" s="150">
        <v>4811</v>
      </c>
      <c r="G30" s="150">
        <v>23</v>
      </c>
      <c r="H30" s="150">
        <v>12534065</v>
      </c>
      <c r="I30" s="150">
        <v>5317372</v>
      </c>
      <c r="J30" s="150">
        <v>27</v>
      </c>
      <c r="K30" s="150">
        <v>268</v>
      </c>
      <c r="L30" s="150">
        <v>2211</v>
      </c>
      <c r="M30" s="150">
        <v>0</v>
      </c>
      <c r="N30" s="150">
        <v>7</v>
      </c>
      <c r="O30" s="150">
        <v>4</v>
      </c>
      <c r="P30" s="150">
        <v>12</v>
      </c>
      <c r="Q30" s="150">
        <v>21</v>
      </c>
      <c r="R30" s="150">
        <v>771</v>
      </c>
      <c r="S30" s="150">
        <v>11</v>
      </c>
      <c r="T30" s="150">
        <v>0</v>
      </c>
      <c r="U30" s="150">
        <v>0</v>
      </c>
      <c r="V30" s="150">
        <v>37960</v>
      </c>
      <c r="W30" s="150">
        <v>19391</v>
      </c>
    </row>
    <row r="31" spans="1:23" ht="20.25" customHeight="1" thickBot="1">
      <c r="A31" s="308" t="s">
        <v>743</v>
      </c>
      <c r="B31" s="151">
        <v>10</v>
      </c>
      <c r="C31" s="152">
        <v>3558</v>
      </c>
      <c r="D31" s="152">
        <v>10637</v>
      </c>
      <c r="E31" s="152">
        <v>127</v>
      </c>
      <c r="F31" s="152">
        <v>670</v>
      </c>
      <c r="G31" s="152">
        <v>9</v>
      </c>
      <c r="H31" s="152">
        <v>1438620</v>
      </c>
      <c r="I31" s="152">
        <v>262600</v>
      </c>
      <c r="J31" s="152">
        <v>8</v>
      </c>
      <c r="K31" s="152">
        <v>216</v>
      </c>
      <c r="L31" s="152">
        <v>372</v>
      </c>
      <c r="M31" s="152">
        <v>1</v>
      </c>
      <c r="N31" s="152">
        <v>0</v>
      </c>
      <c r="O31" s="152">
        <v>1</v>
      </c>
      <c r="P31" s="152">
        <v>1</v>
      </c>
      <c r="Q31" s="152">
        <v>5</v>
      </c>
      <c r="R31" s="152">
        <v>124</v>
      </c>
      <c r="S31" s="152">
        <v>6</v>
      </c>
      <c r="T31" s="152">
        <v>0</v>
      </c>
      <c r="U31" s="152">
        <v>0</v>
      </c>
      <c r="V31" s="152">
        <v>1695</v>
      </c>
      <c r="W31" s="152">
        <v>258</v>
      </c>
    </row>
    <row r="32" spans="1:11" s="218" customFormat="1" ht="15" customHeight="1">
      <c r="A32" s="184" t="s">
        <v>1080</v>
      </c>
      <c r="B32" s="257"/>
      <c r="C32" s="257"/>
      <c r="D32" s="257"/>
      <c r="E32" s="257"/>
      <c r="F32" s="257"/>
      <c r="G32" s="257"/>
      <c r="I32" s="257"/>
      <c r="K32" s="247" t="s">
        <v>155</v>
      </c>
    </row>
    <row r="33" spans="1:11" s="218" customFormat="1" ht="12.75">
      <c r="A33" s="184" t="s">
        <v>1469</v>
      </c>
      <c r="K33" s="247" t="s">
        <v>1438</v>
      </c>
    </row>
    <row r="34" spans="1:11" s="218" customFormat="1" ht="12.75">
      <c r="A34" s="184" t="s">
        <v>1379</v>
      </c>
      <c r="K34" s="247" t="s">
        <v>1468</v>
      </c>
    </row>
    <row r="35" s="218" customFormat="1" ht="12.75">
      <c r="K35" s="247" t="s">
        <v>1380</v>
      </c>
    </row>
    <row r="36" s="218" customFormat="1" ht="12.75"/>
    <row r="37" s="218" customFormat="1" ht="12.75"/>
    <row r="38" s="218" customFormat="1" ht="12.75"/>
    <row r="39" s="218" customFormat="1" ht="12.75"/>
  </sheetData>
  <sheetProtection/>
  <mergeCells count="27">
    <mergeCell ref="V1:W1"/>
    <mergeCell ref="A2:J2"/>
    <mergeCell ref="K2:W2"/>
    <mergeCell ref="A4:A6"/>
    <mergeCell ref="B4:B5"/>
    <mergeCell ref="C4:C5"/>
    <mergeCell ref="D4:D5"/>
    <mergeCell ref="E4:E5"/>
    <mergeCell ref="F4:F5"/>
    <mergeCell ref="G4:G5"/>
    <mergeCell ref="H4:I4"/>
    <mergeCell ref="J4:J5"/>
    <mergeCell ref="K4:W4"/>
    <mergeCell ref="H5:I5"/>
    <mergeCell ref="K5:W5"/>
    <mergeCell ref="Q6:R6"/>
    <mergeCell ref="V6:W6"/>
    <mergeCell ref="G7:G8"/>
    <mergeCell ref="H7:H8"/>
    <mergeCell ref="I7:I8"/>
    <mergeCell ref="J7:J8"/>
    <mergeCell ref="A7:A8"/>
    <mergeCell ref="B7:B8"/>
    <mergeCell ref="C7:C8"/>
    <mergeCell ref="D7:D8"/>
    <mergeCell ref="E7:E8"/>
    <mergeCell ref="F7:F8"/>
  </mergeCells>
  <conditionalFormatting sqref="A33">
    <cfRule type="cellIs" priority="1" dxfId="1" operator="equal" stopIfTrue="1">
      <formula>HW33</formula>
    </cfRule>
  </conditionalFormatting>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48"/>
  <sheetViews>
    <sheetView showGridLines="0" view="pageBreakPreview" zoomScale="55" zoomScaleNormal="120" zoomScaleSheetLayoutView="55"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J2" sqref="J2:U2"/>
    </sheetView>
  </sheetViews>
  <sheetFormatPr defaultColWidth="9.00390625" defaultRowHeight="16.5"/>
  <cols>
    <col min="1" max="1" width="19.625" style="218" customWidth="1"/>
    <col min="2" max="9" width="8.125" style="44" customWidth="1"/>
    <col min="10" max="15" width="7.125" style="44" customWidth="1"/>
    <col min="16" max="17" width="7.125" style="79" customWidth="1"/>
    <col min="18" max="21" width="7.125" style="44" customWidth="1"/>
    <col min="22" max="28" width="0" style="44" hidden="1" customWidth="1"/>
    <col min="29" max="16384" width="9.00390625" style="44" customWidth="1"/>
  </cols>
  <sheetData>
    <row r="1" spans="1:21" s="218" customFormat="1" ht="18" customHeight="1">
      <c r="A1" s="210" t="s">
        <v>1077</v>
      </c>
      <c r="B1" s="184"/>
      <c r="C1" s="184"/>
      <c r="D1" s="184"/>
      <c r="P1" s="253"/>
      <c r="Q1" s="253"/>
      <c r="U1" s="258" t="s">
        <v>49</v>
      </c>
    </row>
    <row r="2" spans="1:21" s="218" customFormat="1" ht="24.75" customHeight="1">
      <c r="A2" s="625" t="s">
        <v>1173</v>
      </c>
      <c r="B2" s="625"/>
      <c r="C2" s="625"/>
      <c r="D2" s="625"/>
      <c r="E2" s="625"/>
      <c r="F2" s="625"/>
      <c r="G2" s="625"/>
      <c r="H2" s="625"/>
      <c r="I2" s="671"/>
      <c r="J2" s="625" t="s">
        <v>156</v>
      </c>
      <c r="K2" s="625"/>
      <c r="L2" s="625"/>
      <c r="M2" s="625"/>
      <c r="N2" s="625"/>
      <c r="O2" s="625"/>
      <c r="P2" s="625"/>
      <c r="Q2" s="625"/>
      <c r="R2" s="625"/>
      <c r="S2" s="625"/>
      <c r="T2" s="625"/>
      <c r="U2" s="625"/>
    </row>
    <row r="3" spans="1:21" s="218" customFormat="1" ht="15" customHeight="1" thickBot="1">
      <c r="A3" s="253"/>
      <c r="B3" s="253"/>
      <c r="C3" s="253"/>
      <c r="D3" s="253"/>
      <c r="E3" s="253"/>
      <c r="F3" s="253"/>
      <c r="G3" s="253"/>
      <c r="H3" s="253"/>
      <c r="I3" s="449" t="s">
        <v>1083</v>
      </c>
      <c r="J3" s="253"/>
      <c r="K3" s="253"/>
      <c r="L3" s="253"/>
      <c r="M3" s="253"/>
      <c r="N3" s="247"/>
      <c r="O3" s="247"/>
      <c r="Q3" s="449"/>
      <c r="T3" s="253"/>
      <c r="U3" s="449" t="s">
        <v>157</v>
      </c>
    </row>
    <row r="4" spans="1:21" s="218" customFormat="1" ht="21.75" customHeight="1">
      <c r="A4" s="660" t="s">
        <v>712</v>
      </c>
      <c r="B4" s="672" t="s">
        <v>753</v>
      </c>
      <c r="C4" s="673"/>
      <c r="D4" s="673"/>
      <c r="E4" s="676" t="s">
        <v>754</v>
      </c>
      <c r="F4" s="673"/>
      <c r="G4" s="673"/>
      <c r="H4" s="673"/>
      <c r="I4" s="673"/>
      <c r="J4" s="673" t="s">
        <v>158</v>
      </c>
      <c r="K4" s="673"/>
      <c r="L4" s="673"/>
      <c r="M4" s="673"/>
      <c r="N4" s="673"/>
      <c r="O4" s="673"/>
      <c r="P4" s="673"/>
      <c r="Q4" s="673"/>
      <c r="R4" s="673"/>
      <c r="S4" s="673"/>
      <c r="T4" s="673"/>
      <c r="U4" s="673"/>
    </row>
    <row r="5" spans="1:25" s="218" customFormat="1" ht="30" customHeight="1">
      <c r="A5" s="641"/>
      <c r="B5" s="674"/>
      <c r="C5" s="675"/>
      <c r="D5" s="675"/>
      <c r="E5" s="612" t="s">
        <v>755</v>
      </c>
      <c r="F5" s="612"/>
      <c r="G5" s="612"/>
      <c r="H5" s="612" t="s">
        <v>756</v>
      </c>
      <c r="I5" s="612"/>
      <c r="J5" s="636" t="s">
        <v>757</v>
      </c>
      <c r="K5" s="612"/>
      <c r="L5" s="612" t="s">
        <v>758</v>
      </c>
      <c r="M5" s="612"/>
      <c r="N5" s="612" t="s">
        <v>759</v>
      </c>
      <c r="O5" s="612"/>
      <c r="P5" s="612" t="s">
        <v>760</v>
      </c>
      <c r="Q5" s="612"/>
      <c r="R5" s="612" t="s">
        <v>761</v>
      </c>
      <c r="S5" s="612"/>
      <c r="T5" s="612" t="s">
        <v>762</v>
      </c>
      <c r="U5" s="612"/>
      <c r="X5" s="486"/>
      <c r="Y5" s="487" t="s">
        <v>1373</v>
      </c>
    </row>
    <row r="6" spans="1:21" s="218" customFormat="1" ht="30" customHeight="1">
      <c r="A6" s="641" t="s">
        <v>159</v>
      </c>
      <c r="B6" s="666" t="s">
        <v>160</v>
      </c>
      <c r="C6" s="667"/>
      <c r="D6" s="668"/>
      <c r="E6" s="669" t="s">
        <v>161</v>
      </c>
      <c r="F6" s="669"/>
      <c r="G6" s="669"/>
      <c r="H6" s="669" t="s">
        <v>162</v>
      </c>
      <c r="I6" s="670"/>
      <c r="J6" s="667" t="s">
        <v>163</v>
      </c>
      <c r="K6" s="623"/>
      <c r="L6" s="665" t="s">
        <v>164</v>
      </c>
      <c r="M6" s="623"/>
      <c r="N6" s="665" t="s">
        <v>165</v>
      </c>
      <c r="O6" s="623"/>
      <c r="P6" s="665" t="s">
        <v>166</v>
      </c>
      <c r="Q6" s="623"/>
      <c r="R6" s="665" t="s">
        <v>167</v>
      </c>
      <c r="S6" s="623"/>
      <c r="T6" s="665" t="s">
        <v>168</v>
      </c>
      <c r="U6" s="623"/>
    </row>
    <row r="7" spans="1:21" s="218" customFormat="1" ht="16.5" customHeight="1">
      <c r="A7" s="641"/>
      <c r="B7" s="436" t="s">
        <v>755</v>
      </c>
      <c r="C7" s="183" t="s">
        <v>722</v>
      </c>
      <c r="D7" s="183" t="s">
        <v>723</v>
      </c>
      <c r="E7" s="183" t="s">
        <v>625</v>
      </c>
      <c r="F7" s="183" t="s">
        <v>722</v>
      </c>
      <c r="G7" s="183" t="s">
        <v>723</v>
      </c>
      <c r="H7" s="183" t="s">
        <v>722</v>
      </c>
      <c r="I7" s="183" t="s">
        <v>723</v>
      </c>
      <c r="J7" s="182" t="s">
        <v>722</v>
      </c>
      <c r="K7" s="183" t="s">
        <v>723</v>
      </c>
      <c r="L7" s="183" t="s">
        <v>722</v>
      </c>
      <c r="M7" s="183" t="s">
        <v>723</v>
      </c>
      <c r="N7" s="183" t="s">
        <v>722</v>
      </c>
      <c r="O7" s="183" t="s">
        <v>723</v>
      </c>
      <c r="P7" s="183" t="s">
        <v>722</v>
      </c>
      <c r="Q7" s="183" t="s">
        <v>723</v>
      </c>
      <c r="R7" s="183" t="s">
        <v>722</v>
      </c>
      <c r="S7" s="183" t="s">
        <v>723</v>
      </c>
      <c r="T7" s="183" t="s">
        <v>722</v>
      </c>
      <c r="U7" s="183" t="s">
        <v>723</v>
      </c>
    </row>
    <row r="8" spans="1:21" s="309" customFormat="1" ht="16.5" customHeight="1" thickBot="1">
      <c r="A8" s="642"/>
      <c r="B8" s="437" t="s">
        <v>161</v>
      </c>
      <c r="C8" s="252" t="s">
        <v>169</v>
      </c>
      <c r="D8" s="252" t="s">
        <v>170</v>
      </c>
      <c r="E8" s="252" t="s">
        <v>317</v>
      </c>
      <c r="F8" s="252" t="s">
        <v>171</v>
      </c>
      <c r="G8" s="252" t="s">
        <v>172</v>
      </c>
      <c r="H8" s="252" t="s">
        <v>171</v>
      </c>
      <c r="I8" s="252" t="s">
        <v>172</v>
      </c>
      <c r="J8" s="263" t="s">
        <v>171</v>
      </c>
      <c r="K8" s="252" t="s">
        <v>172</v>
      </c>
      <c r="L8" s="252" t="s">
        <v>171</v>
      </c>
      <c r="M8" s="252" t="s">
        <v>172</v>
      </c>
      <c r="N8" s="252" t="s">
        <v>171</v>
      </c>
      <c r="O8" s="252" t="s">
        <v>172</v>
      </c>
      <c r="P8" s="252" t="s">
        <v>171</v>
      </c>
      <c r="Q8" s="252" t="s">
        <v>172</v>
      </c>
      <c r="R8" s="252" t="s">
        <v>171</v>
      </c>
      <c r="S8" s="252" t="s">
        <v>172</v>
      </c>
      <c r="T8" s="252" t="s">
        <v>171</v>
      </c>
      <c r="U8" s="252" t="s">
        <v>172</v>
      </c>
    </row>
    <row r="9" spans="1:21" ht="24" customHeight="1">
      <c r="A9" s="306" t="s">
        <v>724</v>
      </c>
      <c r="B9" s="395">
        <f aca="true" t="shared" si="0" ref="B9:D13">E9</f>
        <v>70917</v>
      </c>
      <c r="C9" s="396">
        <f t="shared" si="0"/>
        <v>42145</v>
      </c>
      <c r="D9" s="396">
        <f t="shared" si="0"/>
        <v>28772</v>
      </c>
      <c r="E9" s="396">
        <f>SUM(F9:G9)</f>
        <v>70917</v>
      </c>
      <c r="F9" s="396">
        <f>SUM(H9,J9,L9,N9,P9,R9,T9,'11-6 續1'!B9,'11-6 續1'!D9,'11-6 續1'!F9,'11-6 續1'!H9,'11-6 續1'!J9,'11-6 續1'!L9,'11-6 續1'!N9,'11-6 續1'!P9,'11-6 續1'!R9)</f>
        <v>42145</v>
      </c>
      <c r="G9" s="396">
        <f>SUM(I9,K9,M9,O9,Q9,S9,U9,'11-6 續1'!C9,'11-6 續1'!E9,'11-6 續1'!G9,'11-6 續1'!I9,'11-6 續1'!K9,'11-6 續1'!M9,'11-6 續1'!O9,'11-6 續1'!Q9,'11-6 續1'!S9)</f>
        <v>28772</v>
      </c>
      <c r="H9" s="396">
        <v>1754</v>
      </c>
      <c r="I9" s="396">
        <v>1450</v>
      </c>
      <c r="J9" s="396">
        <v>5343</v>
      </c>
      <c r="K9" s="396">
        <v>3252</v>
      </c>
      <c r="L9" s="396">
        <v>66</v>
      </c>
      <c r="M9" s="396">
        <v>46</v>
      </c>
      <c r="N9" s="396">
        <v>676</v>
      </c>
      <c r="O9" s="396">
        <v>314</v>
      </c>
      <c r="P9" s="396">
        <v>16828</v>
      </c>
      <c r="Q9" s="396">
        <v>9585</v>
      </c>
      <c r="R9" s="396">
        <v>4030</v>
      </c>
      <c r="S9" s="396">
        <v>3110</v>
      </c>
      <c r="T9" s="396">
        <v>3782</v>
      </c>
      <c r="U9" s="396">
        <v>3366</v>
      </c>
    </row>
    <row r="10" spans="1:21" ht="24" customHeight="1">
      <c r="A10" s="306" t="s">
        <v>541</v>
      </c>
      <c r="B10" s="395">
        <f t="shared" si="0"/>
        <v>70374</v>
      </c>
      <c r="C10" s="396">
        <f t="shared" si="0"/>
        <v>41598</v>
      </c>
      <c r="D10" s="396">
        <f t="shared" si="0"/>
        <v>28776</v>
      </c>
      <c r="E10" s="396">
        <f>SUM(F10:G10)</f>
        <v>70374</v>
      </c>
      <c r="F10" s="396">
        <f>SUM(H10,J10,L10,N10,P10,R10,T10,'11-6 續1'!B10,'11-6 續1'!D10,'11-6 續1'!F10,'11-6 續1'!H10,'11-6 續1'!J10,'11-6 續1'!L10,'11-6 續1'!N10,'11-6 續1'!P10,'11-6 續1'!R10)</f>
        <v>41598</v>
      </c>
      <c r="G10" s="396">
        <f>SUM(I10,K10,M10,O10,Q10,S10,U10,'11-6 續1'!C10,'11-6 續1'!E10,'11-6 續1'!G10,'11-6 續1'!I10,'11-6 續1'!K10,'11-6 續1'!M10,'11-6 續1'!O10,'11-6 續1'!Q10,'11-6 續1'!S10)</f>
        <v>28776</v>
      </c>
      <c r="H10" s="396">
        <v>1726</v>
      </c>
      <c r="I10" s="396">
        <v>1405</v>
      </c>
      <c r="J10" s="396">
        <v>5380</v>
      </c>
      <c r="K10" s="396">
        <v>3340</v>
      </c>
      <c r="L10" s="396">
        <v>79</v>
      </c>
      <c r="M10" s="396">
        <v>50</v>
      </c>
      <c r="N10" s="396">
        <v>639</v>
      </c>
      <c r="O10" s="396">
        <v>296</v>
      </c>
      <c r="P10" s="396">
        <v>15907</v>
      </c>
      <c r="Q10" s="396">
        <v>9144</v>
      </c>
      <c r="R10" s="396">
        <v>3939</v>
      </c>
      <c r="S10" s="396">
        <v>3122</v>
      </c>
      <c r="T10" s="396">
        <v>3988</v>
      </c>
      <c r="U10" s="396">
        <v>3486</v>
      </c>
    </row>
    <row r="11" spans="1:21" ht="24" customHeight="1">
      <c r="A11" s="306" t="s">
        <v>725</v>
      </c>
      <c r="B11" s="395">
        <f t="shared" si="0"/>
        <v>73071</v>
      </c>
      <c r="C11" s="396">
        <f t="shared" si="0"/>
        <v>43075</v>
      </c>
      <c r="D11" s="396">
        <f t="shared" si="0"/>
        <v>29996</v>
      </c>
      <c r="E11" s="396">
        <f>SUM(F11:G11)</f>
        <v>73071</v>
      </c>
      <c r="F11" s="396">
        <f>SUM(H11,J11,L11,N11,P11,R11,T11,'11-6 續1'!B11,'11-6 續1'!D11,'11-6 續1'!F11,'11-6 續1'!H11,'11-6 續1'!J11,'11-6 續1'!L11,'11-6 續1'!N11,'11-6 續1'!P11,'11-6 續1'!R11)</f>
        <v>43075</v>
      </c>
      <c r="G11" s="396">
        <f>SUM(I11,K11,M11,O11,Q11,S11,U11,'11-6 續1'!C11,'11-6 續1'!E11,'11-6 續1'!G11,'11-6 續1'!I11,'11-6 續1'!K11,'11-6 續1'!M11,'11-6 續1'!O11,'11-6 續1'!Q11,'11-6 續1'!S11)</f>
        <v>29996</v>
      </c>
      <c r="H11" s="396">
        <v>1757</v>
      </c>
      <c r="I11" s="396">
        <v>1450</v>
      </c>
      <c r="J11" s="396">
        <v>5568</v>
      </c>
      <c r="K11" s="396">
        <v>3468</v>
      </c>
      <c r="L11" s="396">
        <v>94</v>
      </c>
      <c r="M11" s="396">
        <v>55</v>
      </c>
      <c r="N11" s="396">
        <v>677</v>
      </c>
      <c r="O11" s="396">
        <v>315</v>
      </c>
      <c r="P11" s="396">
        <v>16031</v>
      </c>
      <c r="Q11" s="396">
        <v>9339</v>
      </c>
      <c r="R11" s="396">
        <v>4070</v>
      </c>
      <c r="S11" s="396">
        <v>3255</v>
      </c>
      <c r="T11" s="396">
        <v>4286</v>
      </c>
      <c r="U11" s="396">
        <v>3668</v>
      </c>
    </row>
    <row r="12" spans="1:21" ht="24" customHeight="1">
      <c r="A12" s="306" t="s">
        <v>726</v>
      </c>
      <c r="B12" s="395">
        <f t="shared" si="0"/>
        <v>76070</v>
      </c>
      <c r="C12" s="396">
        <f t="shared" si="0"/>
        <v>44665</v>
      </c>
      <c r="D12" s="396">
        <f t="shared" si="0"/>
        <v>31405</v>
      </c>
      <c r="E12" s="396">
        <f>SUM(F12:G12)</f>
        <v>76070</v>
      </c>
      <c r="F12" s="396">
        <f>SUM(H12,J12,L12,N12,P12,R12,T12,'11-6 續1'!B12,'11-6 續1'!D12,'11-6 續1'!F12,'11-6 續1'!H12,'11-6 續1'!J12,'11-6 續1'!L12,'11-6 續1'!N12,'11-6 續1'!P12,'11-6 續1'!R12)</f>
        <v>44665</v>
      </c>
      <c r="G12" s="396">
        <f>SUM(I12,K12,M12,O12,Q12,S12,U12,'11-6 續1'!C12,'11-6 續1'!E12,'11-6 續1'!G12,'11-6 續1'!I12,'11-6 續1'!K12,'11-6 續1'!M12,'11-6 續1'!O12,'11-6 續1'!Q12,'11-6 續1'!S12)</f>
        <v>31405</v>
      </c>
      <c r="H12" s="396">
        <v>1812</v>
      </c>
      <c r="I12" s="396">
        <v>1529</v>
      </c>
      <c r="J12" s="396">
        <v>5694</v>
      </c>
      <c r="K12" s="396">
        <v>3630</v>
      </c>
      <c r="L12" s="396">
        <v>98</v>
      </c>
      <c r="M12" s="396">
        <v>65</v>
      </c>
      <c r="N12" s="396">
        <v>716</v>
      </c>
      <c r="O12" s="396">
        <v>326</v>
      </c>
      <c r="P12" s="396">
        <v>16291</v>
      </c>
      <c r="Q12" s="396">
        <v>9614</v>
      </c>
      <c r="R12" s="396">
        <v>4228</v>
      </c>
      <c r="S12" s="396">
        <v>3371</v>
      </c>
      <c r="T12" s="396">
        <v>4626</v>
      </c>
      <c r="U12" s="396">
        <v>3874</v>
      </c>
    </row>
    <row r="13" spans="1:21" ht="24" customHeight="1">
      <c r="A13" s="306" t="s">
        <v>727</v>
      </c>
      <c r="B13" s="395">
        <f t="shared" si="0"/>
        <v>74409</v>
      </c>
      <c r="C13" s="396">
        <f t="shared" si="0"/>
        <v>43356</v>
      </c>
      <c r="D13" s="396">
        <f>G13</f>
        <v>31053</v>
      </c>
      <c r="E13" s="396">
        <f>SUM(F13:G13)</f>
        <v>74409</v>
      </c>
      <c r="F13" s="396">
        <f>SUM(H13,J13,L13,N13,P13,R13,T13,'11-6 續1'!B13,'11-6 續1'!D13,'11-6 續1'!F13,'11-6 續1'!H13,'11-6 續1'!J13,'11-6 續1'!L13,'11-6 續1'!N13,'11-6 續1'!P13,'11-6 續1'!R13)</f>
        <v>43356</v>
      </c>
      <c r="G13" s="396">
        <f>SUM(I13,K13,M13,O13,Q13,S13,U13,'11-6 續1'!C13,'11-6 續1'!E13,'11-6 續1'!G13,'11-6 續1'!I13,'11-6 續1'!K13,'11-6 續1'!M13,'11-6 續1'!O13,'11-6 續1'!Q13,'11-6 續1'!S13)</f>
        <v>31053</v>
      </c>
      <c r="H13" s="396">
        <v>1680</v>
      </c>
      <c r="I13" s="396">
        <v>1455</v>
      </c>
      <c r="J13" s="396">
        <v>5603</v>
      </c>
      <c r="K13" s="396">
        <v>3711</v>
      </c>
      <c r="L13" s="396">
        <v>109</v>
      </c>
      <c r="M13" s="396">
        <v>55</v>
      </c>
      <c r="N13" s="396">
        <v>663</v>
      </c>
      <c r="O13" s="396">
        <v>312</v>
      </c>
      <c r="P13" s="396">
        <v>15213</v>
      </c>
      <c r="Q13" s="396">
        <v>9128</v>
      </c>
      <c r="R13" s="396">
        <v>4199</v>
      </c>
      <c r="S13" s="396">
        <v>3379</v>
      </c>
      <c r="T13" s="396">
        <v>4707</v>
      </c>
      <c r="U13" s="396">
        <v>3869</v>
      </c>
    </row>
    <row r="14" spans="1:21" ht="24" customHeight="1">
      <c r="A14" s="306" t="s">
        <v>728</v>
      </c>
      <c r="B14" s="395">
        <v>76175</v>
      </c>
      <c r="C14" s="396">
        <v>44178</v>
      </c>
      <c r="D14" s="396">
        <v>31997</v>
      </c>
      <c r="E14" s="396">
        <v>56775</v>
      </c>
      <c r="F14" s="396">
        <v>33061</v>
      </c>
      <c r="G14" s="396">
        <v>23714</v>
      </c>
      <c r="H14" s="396">
        <v>1439</v>
      </c>
      <c r="I14" s="396">
        <v>1232</v>
      </c>
      <c r="J14" s="396">
        <v>4529</v>
      </c>
      <c r="K14" s="396">
        <v>3063</v>
      </c>
      <c r="L14" s="396">
        <v>74</v>
      </c>
      <c r="M14" s="396">
        <v>46</v>
      </c>
      <c r="N14" s="396">
        <v>527</v>
      </c>
      <c r="O14" s="396">
        <v>275</v>
      </c>
      <c r="P14" s="396">
        <v>13007</v>
      </c>
      <c r="Q14" s="396">
        <v>7658</v>
      </c>
      <c r="R14" s="396">
        <v>3385</v>
      </c>
      <c r="S14" s="396">
        <v>2756</v>
      </c>
      <c r="T14" s="396">
        <v>3460</v>
      </c>
      <c r="U14" s="396">
        <v>3201</v>
      </c>
    </row>
    <row r="15" spans="1:21" ht="24" customHeight="1">
      <c r="A15" s="306" t="s">
        <v>729</v>
      </c>
      <c r="B15" s="395">
        <v>79942</v>
      </c>
      <c r="C15" s="396">
        <v>46465</v>
      </c>
      <c r="D15" s="396">
        <v>33477</v>
      </c>
      <c r="E15" s="396">
        <v>53832</v>
      </c>
      <c r="F15" s="396">
        <v>31519</v>
      </c>
      <c r="G15" s="396">
        <v>22313</v>
      </c>
      <c r="H15" s="396">
        <v>1349</v>
      </c>
      <c r="I15" s="396">
        <v>1130</v>
      </c>
      <c r="J15" s="396">
        <v>4241</v>
      </c>
      <c r="K15" s="396">
        <v>2843</v>
      </c>
      <c r="L15" s="396">
        <v>63</v>
      </c>
      <c r="M15" s="396">
        <v>36</v>
      </c>
      <c r="N15" s="396">
        <v>468</v>
      </c>
      <c r="O15" s="396">
        <v>243</v>
      </c>
      <c r="P15" s="396">
        <v>12701</v>
      </c>
      <c r="Q15" s="396">
        <v>7423</v>
      </c>
      <c r="R15" s="396">
        <v>3151</v>
      </c>
      <c r="S15" s="396">
        <v>2546</v>
      </c>
      <c r="T15" s="396">
        <v>3417</v>
      </c>
      <c r="U15" s="396">
        <v>3143</v>
      </c>
    </row>
    <row r="16" spans="1:21" ht="24" customHeight="1">
      <c r="A16" s="488" t="s">
        <v>730</v>
      </c>
      <c r="B16" s="395">
        <v>79062</v>
      </c>
      <c r="C16" s="396">
        <v>45870</v>
      </c>
      <c r="D16" s="396">
        <v>33192</v>
      </c>
      <c r="E16" s="396">
        <v>46516</v>
      </c>
      <c r="F16" s="396">
        <v>27153</v>
      </c>
      <c r="G16" s="396">
        <v>19363</v>
      </c>
      <c r="H16" s="396">
        <v>1157</v>
      </c>
      <c r="I16" s="396">
        <v>1018</v>
      </c>
      <c r="J16" s="396">
        <v>3425</v>
      </c>
      <c r="K16" s="396">
        <v>2360</v>
      </c>
      <c r="L16" s="396">
        <v>46</v>
      </c>
      <c r="M16" s="396">
        <v>31</v>
      </c>
      <c r="N16" s="396">
        <v>382</v>
      </c>
      <c r="O16" s="396">
        <v>201</v>
      </c>
      <c r="P16" s="396">
        <v>11606</v>
      </c>
      <c r="Q16" s="396">
        <v>6761</v>
      </c>
      <c r="R16" s="396">
        <v>2661</v>
      </c>
      <c r="S16" s="396">
        <v>2093</v>
      </c>
      <c r="T16" s="396">
        <v>2911</v>
      </c>
      <c r="U16" s="396">
        <v>2720</v>
      </c>
    </row>
    <row r="17" spans="1:21" ht="24" customHeight="1">
      <c r="A17" s="306" t="s">
        <v>880</v>
      </c>
      <c r="B17" s="395">
        <v>80578</v>
      </c>
      <c r="C17" s="396">
        <v>46655</v>
      </c>
      <c r="D17" s="396">
        <v>33923</v>
      </c>
      <c r="E17" s="396">
        <v>34631</v>
      </c>
      <c r="F17" s="396">
        <v>20169</v>
      </c>
      <c r="G17" s="396">
        <v>14462</v>
      </c>
      <c r="H17" s="396">
        <v>816</v>
      </c>
      <c r="I17" s="396">
        <v>781</v>
      </c>
      <c r="J17" s="396">
        <v>2670</v>
      </c>
      <c r="K17" s="396">
        <v>1807</v>
      </c>
      <c r="L17" s="396">
        <v>36</v>
      </c>
      <c r="M17" s="396">
        <v>23</v>
      </c>
      <c r="N17" s="396">
        <v>272</v>
      </c>
      <c r="O17" s="396">
        <v>130</v>
      </c>
      <c r="P17" s="396">
        <v>10220</v>
      </c>
      <c r="Q17" s="396">
        <v>6048</v>
      </c>
      <c r="R17" s="396">
        <v>829</v>
      </c>
      <c r="S17" s="396">
        <v>729</v>
      </c>
      <c r="T17" s="396">
        <v>2371</v>
      </c>
      <c r="U17" s="396">
        <v>2246</v>
      </c>
    </row>
    <row r="18" spans="1:24" ht="24" customHeight="1">
      <c r="A18" s="306" t="s">
        <v>1195</v>
      </c>
      <c r="B18" s="395">
        <f>C18+D18</f>
        <v>82049</v>
      </c>
      <c r="C18" s="396">
        <f>F18+'11-6 續2完'!C18</f>
        <v>47274</v>
      </c>
      <c r="D18" s="396">
        <f>G18+'11-6 續2完'!D18</f>
        <v>34775</v>
      </c>
      <c r="E18" s="396">
        <f>SUM(F18:G18)</f>
        <v>10329</v>
      </c>
      <c r="F18" s="396">
        <f>SUM(H18,J18,L18,N18,P18,R18,T18,'11-6 續1'!B18,'11-6 續1'!D18,'11-6 續1'!F18,'11-6 續1'!H18,'11-6 續1'!J18,'11-6 續1'!L18,'11-6 續1'!N18,'11-6 續1'!P18,'11-6 續1'!R18)</f>
        <v>6091</v>
      </c>
      <c r="G18" s="396">
        <f>SUM(I18,K18,M18,O18,Q18,S18,U18,'11-6 續1'!C18,'11-6 續1'!E18,'11-6 續1'!G18,'11-6 續1'!I18,'11-6 續1'!K18,'11-6 續1'!M18,'11-6 續1'!O18,'11-6 續1'!Q18,'11-6 續1'!S18)</f>
        <v>4238</v>
      </c>
      <c r="H18" s="396">
        <f>SUM(H19:H31)</f>
        <v>282</v>
      </c>
      <c r="I18" s="396">
        <f aca="true" t="shared" si="1" ref="I18:U18">SUM(I19:I31)</f>
        <v>247</v>
      </c>
      <c r="J18" s="396">
        <f t="shared" si="1"/>
        <v>1241</v>
      </c>
      <c r="K18" s="396">
        <f>SUM(K19:K31)</f>
        <v>636</v>
      </c>
      <c r="L18" s="396">
        <f t="shared" si="1"/>
        <v>15</v>
      </c>
      <c r="M18" s="396">
        <f t="shared" si="1"/>
        <v>8</v>
      </c>
      <c r="N18" s="396">
        <f t="shared" si="1"/>
        <v>84</v>
      </c>
      <c r="O18" s="396">
        <f t="shared" si="1"/>
        <v>34</v>
      </c>
      <c r="P18" s="396">
        <f t="shared" si="1"/>
        <v>2750</v>
      </c>
      <c r="Q18" s="396">
        <f t="shared" si="1"/>
        <v>1700</v>
      </c>
      <c r="R18" s="396">
        <f t="shared" si="1"/>
        <v>387</v>
      </c>
      <c r="S18" s="396">
        <f t="shared" si="1"/>
        <v>332</v>
      </c>
      <c r="T18" s="396">
        <f t="shared" si="1"/>
        <v>534</v>
      </c>
      <c r="U18" s="396">
        <f t="shared" si="1"/>
        <v>485</v>
      </c>
      <c r="V18" s="480">
        <f>SUM(B19:B31)</f>
        <v>82049</v>
      </c>
      <c r="W18" s="480">
        <f>SUM(C19:C31)</f>
        <v>47274</v>
      </c>
      <c r="X18" s="480">
        <f>SUM(D19:D31)</f>
        <v>34775</v>
      </c>
    </row>
    <row r="19" spans="1:23" ht="24" customHeight="1">
      <c r="A19" s="304" t="s">
        <v>731</v>
      </c>
      <c r="B19" s="126">
        <f>C19+D19</f>
        <v>14509</v>
      </c>
      <c r="C19" s="396">
        <f>F19+'11-6 續2完'!C19</f>
        <v>8326</v>
      </c>
      <c r="D19" s="396">
        <f>G19+'11-6 續2完'!D19</f>
        <v>6183</v>
      </c>
      <c r="E19" s="400">
        <f>F19+G19</f>
        <v>1777</v>
      </c>
      <c r="F19" s="396">
        <f>SUM(H19,J19,L19,N19,P19,R19,T19,'11-6 續1'!B19,'11-6 續1'!D19,'11-6 續1'!F19,'11-6 續1'!H19,'11-6 續1'!J19,'11-6 續1'!L19,'11-6 續1'!N19,'11-6 續1'!P19,'11-6 續1'!R19)</f>
        <v>1011</v>
      </c>
      <c r="G19" s="396">
        <f>SUM(I19,K19,M19,O19,Q19,S19,U19,'11-6 續1'!C19,'11-6 續1'!E19,'11-6 續1'!G19,'11-6 續1'!I19,'11-6 續1'!K19,'11-6 續1'!M19,'11-6 續1'!O19,'11-6 續1'!Q19,'11-6 續1'!S19)</f>
        <v>766</v>
      </c>
      <c r="H19" s="126">
        <v>56</v>
      </c>
      <c r="I19" s="126">
        <v>37</v>
      </c>
      <c r="J19" s="126">
        <v>152</v>
      </c>
      <c r="K19" s="126">
        <v>125</v>
      </c>
      <c r="L19" s="126">
        <v>2</v>
      </c>
      <c r="M19" s="126">
        <v>1</v>
      </c>
      <c r="N19" s="126">
        <v>15</v>
      </c>
      <c r="O19" s="126">
        <v>5</v>
      </c>
      <c r="P19" s="126">
        <v>523</v>
      </c>
      <c r="Q19" s="126">
        <v>341</v>
      </c>
      <c r="R19" s="126">
        <v>54</v>
      </c>
      <c r="S19" s="126">
        <v>41</v>
      </c>
      <c r="T19" s="126">
        <v>83</v>
      </c>
      <c r="U19" s="126">
        <v>90</v>
      </c>
      <c r="V19" s="480">
        <v>1777</v>
      </c>
      <c r="W19" s="44">
        <f>IF(V19=E19,1)</f>
        <v>1</v>
      </c>
    </row>
    <row r="20" spans="1:23" ht="24" customHeight="1">
      <c r="A20" s="304" t="s">
        <v>732</v>
      </c>
      <c r="B20" s="126">
        <f>C20+D20</f>
        <v>14845</v>
      </c>
      <c r="C20" s="396">
        <f>F20+'11-6 續2完'!C20</f>
        <v>8456</v>
      </c>
      <c r="D20" s="396">
        <f>G20+'11-6 續2完'!D20</f>
        <v>6389</v>
      </c>
      <c r="E20" s="126">
        <f aca="true" t="shared" si="2" ref="E20:E31">F20+G20</f>
        <v>1878</v>
      </c>
      <c r="F20" s="396">
        <f>SUM(H20,J20,L20,N20,P20,R20,T20,'11-6 續1'!B20,'11-6 續1'!D20,'11-6 續1'!F20,'11-6 續1'!H20,'11-6 續1'!J20,'11-6 續1'!L20,'11-6 續1'!N20,'11-6 續1'!P20,'11-6 續1'!R20)</f>
        <v>1156</v>
      </c>
      <c r="G20" s="396">
        <f>SUM(I20,K20,M20,O20,Q20,S20,U20,'11-6 續1'!C20,'11-6 續1'!E20,'11-6 續1'!G20,'11-6 續1'!I20,'11-6 續1'!K20,'11-6 續1'!M20,'11-6 續1'!O20,'11-6 續1'!Q20,'11-6 續1'!S20)</f>
        <v>722</v>
      </c>
      <c r="H20" s="126">
        <v>50</v>
      </c>
      <c r="I20" s="126">
        <v>37</v>
      </c>
      <c r="J20" s="126">
        <v>323</v>
      </c>
      <c r="K20" s="126">
        <v>121</v>
      </c>
      <c r="L20" s="126">
        <v>1</v>
      </c>
      <c r="M20" s="126">
        <v>2</v>
      </c>
      <c r="N20" s="126">
        <v>14</v>
      </c>
      <c r="O20" s="126">
        <v>5</v>
      </c>
      <c r="P20" s="126">
        <v>470</v>
      </c>
      <c r="Q20" s="126">
        <v>276</v>
      </c>
      <c r="R20" s="126">
        <v>55</v>
      </c>
      <c r="S20" s="126">
        <v>40</v>
      </c>
      <c r="T20" s="126">
        <v>84</v>
      </c>
      <c r="U20" s="126">
        <v>86</v>
      </c>
      <c r="V20" s="480">
        <v>1878</v>
      </c>
      <c r="W20" s="44">
        <f aca="true" t="shared" si="3" ref="W20:W31">IF(V20=E20,1)</f>
        <v>1</v>
      </c>
    </row>
    <row r="21" spans="1:23" ht="24" customHeight="1">
      <c r="A21" s="304" t="s">
        <v>733</v>
      </c>
      <c r="B21" s="126">
        <f aca="true" t="shared" si="4" ref="B21:B31">C21+D21</f>
        <v>4442</v>
      </c>
      <c r="C21" s="396">
        <f>F21+'11-6 續2完'!C21</f>
        <v>2541</v>
      </c>
      <c r="D21" s="396">
        <f>G21+'11-6 續2完'!D21</f>
        <v>1901</v>
      </c>
      <c r="E21" s="126">
        <f t="shared" si="2"/>
        <v>533</v>
      </c>
      <c r="F21" s="396">
        <f>SUM(H21,J21,L21,N21,P21,R21,T21,'11-6 續1'!B21,'11-6 續1'!D21,'11-6 續1'!F21,'11-6 續1'!H21,'11-6 續1'!J21,'11-6 續1'!L21,'11-6 續1'!N21,'11-6 續1'!P21,'11-6 續1'!R21)</f>
        <v>322</v>
      </c>
      <c r="G21" s="396">
        <f>SUM(I21,K21,M21,O21,Q21,S21,U21,'11-6 續1'!C21,'11-6 續1'!E21,'11-6 續1'!G21,'11-6 續1'!I21,'11-6 續1'!K21,'11-6 續1'!M21,'11-6 續1'!O21,'11-6 續1'!Q21,'11-6 續1'!S21)</f>
        <v>211</v>
      </c>
      <c r="H21" s="126">
        <v>17</v>
      </c>
      <c r="I21" s="126">
        <v>17</v>
      </c>
      <c r="J21" s="126">
        <v>66</v>
      </c>
      <c r="K21" s="126">
        <v>37</v>
      </c>
      <c r="L21" s="126">
        <v>4</v>
      </c>
      <c r="M21" s="126">
        <v>0</v>
      </c>
      <c r="N21" s="126">
        <v>9</v>
      </c>
      <c r="O21" s="126">
        <v>1</v>
      </c>
      <c r="P21" s="126">
        <v>131</v>
      </c>
      <c r="Q21" s="126">
        <v>74</v>
      </c>
      <c r="R21" s="126">
        <v>26</v>
      </c>
      <c r="S21" s="126">
        <v>15</v>
      </c>
      <c r="T21" s="393">
        <v>22</v>
      </c>
      <c r="U21" s="393">
        <v>19</v>
      </c>
      <c r="V21" s="480">
        <v>533</v>
      </c>
      <c r="W21" s="44">
        <f t="shared" si="3"/>
        <v>1</v>
      </c>
    </row>
    <row r="22" spans="1:23" ht="24" customHeight="1">
      <c r="A22" s="304" t="s">
        <v>734</v>
      </c>
      <c r="B22" s="126">
        <f t="shared" si="4"/>
        <v>6313</v>
      </c>
      <c r="C22" s="396">
        <f>F22+'11-6 續2完'!C22</f>
        <v>3660</v>
      </c>
      <c r="D22" s="396">
        <f>G22+'11-6 續2完'!D22</f>
        <v>2653</v>
      </c>
      <c r="E22" s="126">
        <f t="shared" si="2"/>
        <v>628</v>
      </c>
      <c r="F22" s="396">
        <f>SUM(H22,J22,L22,N22,P22,R22,T22,'11-6 續1'!B22,'11-6 續1'!D22,'11-6 續1'!F22,'11-6 續1'!H22,'11-6 續1'!J22,'11-6 續1'!L22,'11-6 續1'!N22,'11-6 續1'!P22,'11-6 續1'!R22)</f>
        <v>352</v>
      </c>
      <c r="G22" s="396">
        <f>SUM(I22,K22,M22,O22,Q22,S22,U22,'11-6 續1'!C22,'11-6 續1'!E22,'11-6 續1'!G22,'11-6 續1'!I22,'11-6 續1'!K22,'11-6 續1'!M22,'11-6 續1'!O22,'11-6 續1'!Q22,'11-6 續1'!S22)</f>
        <v>276</v>
      </c>
      <c r="H22" s="126">
        <v>15</v>
      </c>
      <c r="I22" s="126">
        <v>22</v>
      </c>
      <c r="J22" s="126">
        <v>93</v>
      </c>
      <c r="K22" s="126">
        <v>63</v>
      </c>
      <c r="L22" s="126">
        <v>0</v>
      </c>
      <c r="M22" s="394">
        <v>0</v>
      </c>
      <c r="N22" s="126">
        <v>2</v>
      </c>
      <c r="O22" s="126">
        <v>3</v>
      </c>
      <c r="P22" s="126">
        <v>139</v>
      </c>
      <c r="Q22" s="126">
        <v>104</v>
      </c>
      <c r="R22" s="126">
        <v>24</v>
      </c>
      <c r="S22" s="126">
        <v>12</v>
      </c>
      <c r="T22" s="393">
        <v>39</v>
      </c>
      <c r="U22" s="393">
        <v>25</v>
      </c>
      <c r="V22" s="480">
        <v>628</v>
      </c>
      <c r="W22" s="44">
        <f t="shared" si="3"/>
        <v>1</v>
      </c>
    </row>
    <row r="23" spans="1:23" ht="24" customHeight="1">
      <c r="A23" s="304" t="s">
        <v>735</v>
      </c>
      <c r="B23" s="126">
        <f>C23+D23</f>
        <v>5092</v>
      </c>
      <c r="C23" s="396">
        <f>F23+'11-6 續2完'!C23</f>
        <v>2948</v>
      </c>
      <c r="D23" s="396">
        <f>G23+'11-6 續2完'!D23</f>
        <v>2144</v>
      </c>
      <c r="E23" s="126">
        <f t="shared" si="2"/>
        <v>773</v>
      </c>
      <c r="F23" s="396">
        <f>SUM(H23,J23,L23,N23,P23,R23,T23,'11-6 續1'!B23,'11-6 續1'!D23,'11-6 續1'!F23,'11-6 續1'!H23,'11-6 續1'!J23,'11-6 續1'!L23,'11-6 續1'!N23,'11-6 續1'!P23,'11-6 續1'!R23)</f>
        <v>423</v>
      </c>
      <c r="G23" s="396">
        <f>SUM(I23,K23,M23,O23,Q23,S23,U23,'11-6 續1'!C23,'11-6 續1'!E23,'11-6 續1'!G23,'11-6 續1'!I23,'11-6 續1'!K23,'11-6 續1'!M23,'11-6 續1'!O23,'11-6 續1'!Q23,'11-6 續1'!S23)</f>
        <v>350</v>
      </c>
      <c r="H23" s="126">
        <v>23</v>
      </c>
      <c r="I23" s="126">
        <v>18</v>
      </c>
      <c r="J23" s="126">
        <v>48</v>
      </c>
      <c r="K23" s="126">
        <v>38</v>
      </c>
      <c r="L23" s="126">
        <v>2</v>
      </c>
      <c r="M23" s="126">
        <v>1</v>
      </c>
      <c r="N23" s="126">
        <v>5</v>
      </c>
      <c r="O23" s="126">
        <v>5</v>
      </c>
      <c r="P23" s="126">
        <v>209</v>
      </c>
      <c r="Q23" s="126">
        <v>134</v>
      </c>
      <c r="R23" s="126">
        <v>37</v>
      </c>
      <c r="S23" s="126">
        <v>51</v>
      </c>
      <c r="T23" s="393">
        <v>38</v>
      </c>
      <c r="U23" s="393">
        <v>45</v>
      </c>
      <c r="V23" s="480">
        <v>773</v>
      </c>
      <c r="W23" s="44">
        <f t="shared" si="3"/>
        <v>1</v>
      </c>
    </row>
    <row r="24" spans="1:23" ht="24" customHeight="1">
      <c r="A24" s="304" t="s">
        <v>736</v>
      </c>
      <c r="B24" s="126">
        <f>C24+D24</f>
        <v>3507</v>
      </c>
      <c r="C24" s="396">
        <f>F24+'11-6 續2完'!C24</f>
        <v>2062</v>
      </c>
      <c r="D24" s="396">
        <f>G24+'11-6 續2完'!D24</f>
        <v>1445</v>
      </c>
      <c r="E24" s="126">
        <f t="shared" si="2"/>
        <v>497</v>
      </c>
      <c r="F24" s="396">
        <f>SUM(H24,J24,L24,N24,P24,R24,T24,'11-6 續1'!B24,'11-6 續1'!D24,'11-6 續1'!F24,'11-6 續1'!H24,'11-6 續1'!J24,'11-6 續1'!L24,'11-6 續1'!N24,'11-6 續1'!P24,'11-6 續1'!R24)</f>
        <v>285</v>
      </c>
      <c r="G24" s="396">
        <f>SUM(I24,K24,M24,O24,Q24,S24,U24,'11-6 續1'!C24,'11-6 續1'!E24,'11-6 續1'!G24,'11-6 續1'!I24,'11-6 續1'!K24,'11-6 續1'!M24,'11-6 續1'!O24,'11-6 續1'!Q24,'11-6 續1'!S24)</f>
        <v>212</v>
      </c>
      <c r="H24" s="126">
        <v>11</v>
      </c>
      <c r="I24" s="126">
        <v>12</v>
      </c>
      <c r="J24" s="126">
        <v>40</v>
      </c>
      <c r="K24" s="126">
        <v>34</v>
      </c>
      <c r="L24" s="126">
        <v>0</v>
      </c>
      <c r="M24" s="126">
        <v>1</v>
      </c>
      <c r="N24" s="126">
        <v>6</v>
      </c>
      <c r="O24" s="126">
        <v>2</v>
      </c>
      <c r="P24" s="126">
        <v>154</v>
      </c>
      <c r="Q24" s="126">
        <v>98</v>
      </c>
      <c r="R24" s="126">
        <v>15</v>
      </c>
      <c r="S24" s="126">
        <v>13</v>
      </c>
      <c r="T24" s="126">
        <v>23</v>
      </c>
      <c r="U24" s="126">
        <v>15</v>
      </c>
      <c r="V24" s="480">
        <v>497</v>
      </c>
      <c r="W24" s="44">
        <f t="shared" si="3"/>
        <v>1</v>
      </c>
    </row>
    <row r="25" spans="1:23" ht="24" customHeight="1">
      <c r="A25" s="304" t="s">
        <v>737</v>
      </c>
      <c r="B25" s="126">
        <f t="shared" si="4"/>
        <v>6176</v>
      </c>
      <c r="C25" s="396">
        <f>F25+'11-6 續2完'!C25</f>
        <v>3589</v>
      </c>
      <c r="D25" s="396">
        <f>G25+'11-6 續2完'!D25</f>
        <v>2587</v>
      </c>
      <c r="E25" s="126">
        <f t="shared" si="2"/>
        <v>840</v>
      </c>
      <c r="F25" s="396">
        <f>SUM(H25,J25,L25,N25,P25,R25,T25,'11-6 續1'!B25,'11-6 續1'!D25,'11-6 續1'!F25,'11-6 續1'!H25,'11-6 續1'!J25,'11-6 續1'!L25,'11-6 續1'!N25,'11-6 續1'!P25,'11-6 續1'!R25)</f>
        <v>504</v>
      </c>
      <c r="G25" s="396">
        <f>SUM(I25,K25,M25,O25,Q25,S25,U25,'11-6 續1'!C25,'11-6 續1'!E25,'11-6 續1'!G25,'11-6 續1'!I25,'11-6 續1'!K25,'11-6 續1'!M25,'11-6 續1'!O25,'11-6 續1'!Q25,'11-6 續1'!S25)</f>
        <v>336</v>
      </c>
      <c r="H25" s="126">
        <v>31</v>
      </c>
      <c r="I25" s="126">
        <v>19</v>
      </c>
      <c r="J25" s="126">
        <v>87</v>
      </c>
      <c r="K25" s="126">
        <v>31</v>
      </c>
      <c r="L25" s="126">
        <v>3</v>
      </c>
      <c r="M25" s="126">
        <v>1</v>
      </c>
      <c r="N25" s="126">
        <v>3</v>
      </c>
      <c r="O25" s="126">
        <v>1</v>
      </c>
      <c r="P25" s="126">
        <v>219</v>
      </c>
      <c r="Q25" s="126">
        <v>138</v>
      </c>
      <c r="R25" s="126">
        <v>31</v>
      </c>
      <c r="S25" s="126">
        <v>31</v>
      </c>
      <c r="T25" s="126">
        <v>62</v>
      </c>
      <c r="U25" s="126">
        <v>52</v>
      </c>
      <c r="V25" s="480">
        <v>840</v>
      </c>
      <c r="W25" s="44">
        <f t="shared" si="3"/>
        <v>1</v>
      </c>
    </row>
    <row r="26" spans="1:23" ht="24" customHeight="1">
      <c r="A26" s="304" t="s">
        <v>738</v>
      </c>
      <c r="B26" s="126">
        <f t="shared" si="4"/>
        <v>7817</v>
      </c>
      <c r="C26" s="396">
        <f>F26+'11-6 續2完'!C26</f>
        <v>4483</v>
      </c>
      <c r="D26" s="396">
        <f>G26+'11-6 續2完'!D26</f>
        <v>3334</v>
      </c>
      <c r="E26" s="126">
        <f t="shared" si="2"/>
        <v>1003</v>
      </c>
      <c r="F26" s="396">
        <f>SUM(H26,J26,L26,N26,P26,R26,T26,'11-6 續1'!B26,'11-6 續1'!D26,'11-6 續1'!F26,'11-6 續1'!H26,'11-6 續1'!J26,'11-6 續1'!L26,'11-6 續1'!N26,'11-6 續1'!P26,'11-6 續1'!R26)</f>
        <v>594</v>
      </c>
      <c r="G26" s="396">
        <f>SUM(I26,K26,M26,O26,Q26,S26,U26,'11-6 續1'!C26,'11-6 續1'!E26,'11-6 續1'!G26,'11-6 續1'!I26,'11-6 續1'!K26,'11-6 續1'!M26,'11-6 續1'!O26,'11-6 續1'!Q26,'11-6 續1'!S26)</f>
        <v>409</v>
      </c>
      <c r="H26" s="126">
        <v>17</v>
      </c>
      <c r="I26" s="126">
        <v>22</v>
      </c>
      <c r="J26" s="126">
        <v>122</v>
      </c>
      <c r="K26" s="126">
        <v>45</v>
      </c>
      <c r="L26" s="126">
        <v>1</v>
      </c>
      <c r="M26" s="126">
        <v>1</v>
      </c>
      <c r="N26" s="126">
        <v>6</v>
      </c>
      <c r="O26" s="126">
        <v>2</v>
      </c>
      <c r="P26" s="126">
        <v>272</v>
      </c>
      <c r="Q26" s="126">
        <v>190</v>
      </c>
      <c r="R26" s="126">
        <v>40</v>
      </c>
      <c r="S26" s="126">
        <v>42</v>
      </c>
      <c r="T26" s="126">
        <v>59</v>
      </c>
      <c r="U26" s="126">
        <v>33</v>
      </c>
      <c r="V26" s="480">
        <v>1003</v>
      </c>
      <c r="W26" s="44">
        <f t="shared" si="3"/>
        <v>1</v>
      </c>
    </row>
    <row r="27" spans="1:23" ht="24" customHeight="1">
      <c r="A27" s="304" t="s">
        <v>739</v>
      </c>
      <c r="B27" s="126">
        <f t="shared" si="4"/>
        <v>5018</v>
      </c>
      <c r="C27" s="396">
        <f>F27+'11-6 續2完'!C27</f>
        <v>2835</v>
      </c>
      <c r="D27" s="396">
        <f>G27+'11-6 續2完'!D27</f>
        <v>2183</v>
      </c>
      <c r="E27" s="126">
        <f t="shared" si="2"/>
        <v>547</v>
      </c>
      <c r="F27" s="396">
        <f>SUM(H27,J27,L27,N27,P27,R27,T27,'11-6 續1'!B27,'11-6 續1'!D27,'11-6 續1'!F27,'11-6 續1'!H27,'11-6 續1'!J27,'11-6 續1'!L27,'11-6 續1'!N27,'11-6 續1'!P27,'11-6 續1'!R27)</f>
        <v>337</v>
      </c>
      <c r="G27" s="396">
        <f>SUM(I27,K27,M27,O27,Q27,S27,U27,'11-6 續1'!C27,'11-6 續1'!E27,'11-6 續1'!G27,'11-6 續1'!I27,'11-6 續1'!K27,'11-6 續1'!M27,'11-6 續1'!O27,'11-6 續1'!Q27,'11-6 續1'!S27)</f>
        <v>210</v>
      </c>
      <c r="H27" s="126">
        <v>20</v>
      </c>
      <c r="I27" s="126">
        <v>15</v>
      </c>
      <c r="J27" s="126">
        <v>58</v>
      </c>
      <c r="K27" s="126">
        <v>18</v>
      </c>
      <c r="L27" s="126">
        <v>1</v>
      </c>
      <c r="M27" s="126">
        <v>1</v>
      </c>
      <c r="N27" s="126">
        <v>6</v>
      </c>
      <c r="O27" s="126">
        <v>1</v>
      </c>
      <c r="P27" s="126">
        <v>144</v>
      </c>
      <c r="Q27" s="126">
        <v>87</v>
      </c>
      <c r="R27" s="126">
        <v>25</v>
      </c>
      <c r="S27" s="126">
        <v>17</v>
      </c>
      <c r="T27" s="126">
        <v>34</v>
      </c>
      <c r="U27" s="126">
        <v>27</v>
      </c>
      <c r="V27" s="480">
        <v>547</v>
      </c>
      <c r="W27" s="44">
        <f t="shared" si="3"/>
        <v>1</v>
      </c>
    </row>
    <row r="28" spans="1:23" ht="24" customHeight="1">
      <c r="A28" s="304" t="s">
        <v>740</v>
      </c>
      <c r="B28" s="126">
        <f>C28+D28</f>
        <v>8323</v>
      </c>
      <c r="C28" s="396">
        <f>F28+'11-6 續2完'!C28</f>
        <v>4783</v>
      </c>
      <c r="D28" s="396">
        <f>G28+'11-6 續2完'!D28</f>
        <v>3540</v>
      </c>
      <c r="E28" s="126">
        <f t="shared" si="2"/>
        <v>932</v>
      </c>
      <c r="F28" s="396">
        <f>SUM(H28,J28,L28,N28,P28,R28,T28,'11-6 續1'!B28,'11-6 續1'!D28,'11-6 續1'!F28,'11-6 續1'!H28,'11-6 續1'!J28,'11-6 續1'!L28,'11-6 續1'!N28,'11-6 續1'!P28,'11-6 續1'!R28)</f>
        <v>560</v>
      </c>
      <c r="G28" s="396">
        <f>SUM(I28,K28,M28,O28,Q28,S28,U28,'11-6 續1'!C28,'11-6 續1'!E28,'11-6 續1'!G28,'11-6 續1'!I28,'11-6 續1'!K28,'11-6 續1'!M28,'11-6 續1'!O28,'11-6 續1'!Q28,'11-6 續1'!S28)</f>
        <v>372</v>
      </c>
      <c r="H28" s="126">
        <v>20</v>
      </c>
      <c r="I28" s="126">
        <v>25</v>
      </c>
      <c r="J28" s="126">
        <v>140</v>
      </c>
      <c r="K28" s="126">
        <v>54</v>
      </c>
      <c r="L28" s="126">
        <v>1</v>
      </c>
      <c r="M28" s="126">
        <v>0</v>
      </c>
      <c r="N28" s="126">
        <v>7</v>
      </c>
      <c r="O28" s="126">
        <v>5</v>
      </c>
      <c r="P28" s="126">
        <v>226</v>
      </c>
      <c r="Q28" s="126">
        <v>137</v>
      </c>
      <c r="R28" s="126">
        <v>38</v>
      </c>
      <c r="S28" s="126">
        <v>32</v>
      </c>
      <c r="T28" s="126">
        <v>56</v>
      </c>
      <c r="U28" s="126">
        <v>47</v>
      </c>
      <c r="V28" s="480">
        <v>932</v>
      </c>
      <c r="W28" s="44">
        <f t="shared" si="3"/>
        <v>1</v>
      </c>
    </row>
    <row r="29" spans="1:23" ht="24" customHeight="1">
      <c r="A29" s="304" t="s">
        <v>741</v>
      </c>
      <c r="B29" s="126">
        <f t="shared" si="4"/>
        <v>2416</v>
      </c>
      <c r="C29" s="396">
        <f>F29+'11-6 續2完'!C29</f>
        <v>1457</v>
      </c>
      <c r="D29" s="396">
        <f>G29+'11-6 續2完'!D29</f>
        <v>959</v>
      </c>
      <c r="E29" s="126">
        <f t="shared" si="2"/>
        <v>332</v>
      </c>
      <c r="F29" s="396">
        <f>SUM(H29,J29,L29,N29,P29,R29,T29,'11-6 續1'!B29,'11-6 續1'!D29,'11-6 續1'!F29,'11-6 續1'!H29,'11-6 續1'!J29,'11-6 續1'!L29,'11-6 續1'!N29,'11-6 續1'!P29,'11-6 續1'!R29)</f>
        <v>197</v>
      </c>
      <c r="G29" s="396">
        <f>SUM(I29,K29,M29,O29,Q29,S29,U29,'11-6 續1'!C29,'11-6 續1'!E29,'11-6 續1'!G29,'11-6 續1'!I29,'11-6 續1'!K29,'11-6 續1'!M29,'11-6 續1'!O29,'11-6 續1'!Q29,'11-6 續1'!S29)</f>
        <v>135</v>
      </c>
      <c r="H29" s="126">
        <v>9</v>
      </c>
      <c r="I29" s="126">
        <v>10</v>
      </c>
      <c r="J29" s="126">
        <v>61</v>
      </c>
      <c r="K29" s="126">
        <v>32</v>
      </c>
      <c r="L29" s="126">
        <v>0</v>
      </c>
      <c r="M29" s="126">
        <v>0</v>
      </c>
      <c r="N29" s="126">
        <v>3</v>
      </c>
      <c r="O29" s="126">
        <v>1</v>
      </c>
      <c r="P29" s="126">
        <v>70</v>
      </c>
      <c r="Q29" s="126">
        <v>35</v>
      </c>
      <c r="R29" s="126">
        <v>15</v>
      </c>
      <c r="S29" s="126">
        <v>8</v>
      </c>
      <c r="T29" s="126">
        <v>13</v>
      </c>
      <c r="U29" s="126">
        <v>16</v>
      </c>
      <c r="V29" s="480">
        <v>332</v>
      </c>
      <c r="W29" s="44">
        <f t="shared" si="3"/>
        <v>1</v>
      </c>
    </row>
    <row r="30" spans="1:23" ht="24" customHeight="1">
      <c r="A30" s="304" t="s">
        <v>742</v>
      </c>
      <c r="B30" s="126">
        <f t="shared" si="4"/>
        <v>2831</v>
      </c>
      <c r="C30" s="396">
        <f>F30+'11-6 續2完'!C30</f>
        <v>1649</v>
      </c>
      <c r="D30" s="396">
        <f>G30+'11-6 續2完'!D30</f>
        <v>1182</v>
      </c>
      <c r="E30" s="126">
        <f t="shared" si="2"/>
        <v>470</v>
      </c>
      <c r="F30" s="396">
        <f>SUM(H30,J30,L30,N30,P30,R30,T30,'11-6 續1'!B30,'11-6 續1'!D30,'11-6 續1'!F30,'11-6 續1'!H30,'11-6 續1'!J30,'11-6 續1'!L30,'11-6 續1'!N30,'11-6 續1'!P30,'11-6 續1'!R30)</f>
        <v>274</v>
      </c>
      <c r="G30" s="396">
        <f>SUM(I30,K30,M30,O30,Q30,S30,U30,'11-6 續1'!C30,'11-6 續1'!E30,'11-6 續1'!G30,'11-6 續1'!I30,'11-6 續1'!K30,'11-6 續1'!M30,'11-6 續1'!O30,'11-6 續1'!Q30,'11-6 續1'!S30)</f>
        <v>196</v>
      </c>
      <c r="H30" s="126">
        <v>12</v>
      </c>
      <c r="I30" s="126">
        <v>12</v>
      </c>
      <c r="J30" s="126">
        <v>44</v>
      </c>
      <c r="K30" s="126">
        <v>28</v>
      </c>
      <c r="L30" s="126">
        <v>0</v>
      </c>
      <c r="M30" s="126">
        <v>0</v>
      </c>
      <c r="N30" s="126">
        <v>7</v>
      </c>
      <c r="O30" s="126">
        <v>3</v>
      </c>
      <c r="P30" s="126">
        <v>147</v>
      </c>
      <c r="Q30" s="126">
        <v>70</v>
      </c>
      <c r="R30" s="126">
        <v>23</v>
      </c>
      <c r="S30" s="126">
        <v>27</v>
      </c>
      <c r="T30" s="126">
        <v>11</v>
      </c>
      <c r="U30" s="126">
        <v>27</v>
      </c>
      <c r="V30" s="480">
        <v>470</v>
      </c>
      <c r="W30" s="44">
        <f t="shared" si="3"/>
        <v>1</v>
      </c>
    </row>
    <row r="31" spans="1:23" ht="24" customHeight="1" thickBot="1">
      <c r="A31" s="305" t="s">
        <v>743</v>
      </c>
      <c r="B31" s="489">
        <f t="shared" si="4"/>
        <v>760</v>
      </c>
      <c r="C31" s="490">
        <f>F31+'11-6 續2完'!C31</f>
        <v>485</v>
      </c>
      <c r="D31" s="490">
        <f>G31+'11-6 續2完'!D31</f>
        <v>275</v>
      </c>
      <c r="E31" s="127">
        <f t="shared" si="2"/>
        <v>119</v>
      </c>
      <c r="F31" s="490">
        <f>SUM(H31,J31,L31,N31,P31,R31,T31,'11-6 續1'!B31,'11-6 續1'!D31,'11-6 續1'!F31,'11-6 續1'!H31,'11-6 續1'!J31,'11-6 續1'!L31,'11-6 續1'!N31,'11-6 續1'!P31,'11-6 續1'!R31)</f>
        <v>76</v>
      </c>
      <c r="G31" s="490">
        <f>SUM(I31,K31,M31,O31,Q31,S31,U31,'11-6 續1'!C31,'11-6 續1'!E31,'11-6 續1'!G31,'11-6 續1'!I31,'11-6 續1'!K31,'11-6 續1'!M31,'11-6 續1'!O31,'11-6 續1'!Q31,'11-6 續1'!S31)</f>
        <v>43</v>
      </c>
      <c r="H31" s="127">
        <v>1</v>
      </c>
      <c r="I31" s="127">
        <v>1</v>
      </c>
      <c r="J31" s="127">
        <v>7</v>
      </c>
      <c r="K31" s="127">
        <v>10</v>
      </c>
      <c r="L31" s="127">
        <v>0</v>
      </c>
      <c r="M31" s="127">
        <v>0</v>
      </c>
      <c r="N31" s="127">
        <v>1</v>
      </c>
      <c r="O31" s="127">
        <v>0</v>
      </c>
      <c r="P31" s="127">
        <v>46</v>
      </c>
      <c r="Q31" s="127">
        <v>16</v>
      </c>
      <c r="R31" s="127">
        <v>4</v>
      </c>
      <c r="S31" s="127">
        <v>3</v>
      </c>
      <c r="T31" s="127">
        <v>10</v>
      </c>
      <c r="U31" s="127">
        <v>3</v>
      </c>
      <c r="V31" s="480">
        <v>119</v>
      </c>
      <c r="W31" s="44">
        <f t="shared" si="3"/>
        <v>1</v>
      </c>
    </row>
    <row r="32" spans="1:21" s="218" customFormat="1" ht="15" customHeight="1">
      <c r="A32" s="312" t="s">
        <v>1080</v>
      </c>
      <c r="B32" s="449"/>
      <c r="C32" s="449"/>
      <c r="D32" s="449"/>
      <c r="E32" s="449"/>
      <c r="F32" s="449"/>
      <c r="G32" s="449"/>
      <c r="H32" s="449"/>
      <c r="I32" s="449"/>
      <c r="J32" s="247" t="s">
        <v>173</v>
      </c>
      <c r="K32" s="449"/>
      <c r="L32" s="449"/>
      <c r="M32" s="449"/>
      <c r="N32" s="449"/>
      <c r="P32" s="449"/>
      <c r="Q32" s="449"/>
      <c r="S32" s="247"/>
      <c r="T32" s="449"/>
      <c r="U32" s="449"/>
    </row>
    <row r="33" spans="1:21" s="218" customFormat="1" ht="15" customHeight="1">
      <c r="A33" s="312" t="s">
        <v>1374</v>
      </c>
      <c r="B33" s="449"/>
      <c r="C33" s="449"/>
      <c r="D33" s="449"/>
      <c r="E33" s="449"/>
      <c r="F33" s="449"/>
      <c r="G33" s="449"/>
      <c r="H33" s="449"/>
      <c r="I33" s="449"/>
      <c r="J33" s="247" t="s">
        <v>1375</v>
      </c>
      <c r="K33" s="449"/>
      <c r="L33" s="449"/>
      <c r="M33" s="449"/>
      <c r="N33" s="449"/>
      <c r="P33" s="449"/>
      <c r="Q33" s="449"/>
      <c r="S33" s="247"/>
      <c r="T33" s="449"/>
      <c r="U33" s="449"/>
    </row>
    <row r="34" spans="1:16" s="218" customFormat="1" ht="12.75">
      <c r="A34" s="184" t="s">
        <v>1376</v>
      </c>
      <c r="J34" s="247" t="s">
        <v>1377</v>
      </c>
      <c r="O34" s="253"/>
      <c r="P34" s="253"/>
    </row>
    <row r="35" spans="15:16" s="218" customFormat="1" ht="12.75">
      <c r="O35" s="253"/>
      <c r="P35" s="253"/>
    </row>
    <row r="36" spans="15:16" s="218" customFormat="1" ht="12.75">
      <c r="O36" s="253"/>
      <c r="P36" s="253"/>
    </row>
    <row r="37" spans="15:16" s="218" customFormat="1" ht="12.75">
      <c r="O37" s="253"/>
      <c r="P37" s="253"/>
    </row>
    <row r="38" spans="15:16" s="218" customFormat="1" ht="12.75">
      <c r="O38" s="253"/>
      <c r="P38" s="253"/>
    </row>
    <row r="39" spans="15:16" s="218" customFormat="1" ht="12.75">
      <c r="O39" s="253"/>
      <c r="P39" s="253"/>
    </row>
    <row r="40" spans="15:16" s="218" customFormat="1" ht="12.75">
      <c r="O40" s="253"/>
      <c r="P40" s="253"/>
    </row>
    <row r="41" spans="15:16" s="218" customFormat="1" ht="12.75">
      <c r="O41" s="253"/>
      <c r="P41" s="253"/>
    </row>
    <row r="42" spans="15:16" s="218" customFormat="1" ht="12.75">
      <c r="O42" s="253"/>
      <c r="P42" s="253"/>
    </row>
    <row r="43" spans="15:16" s="218" customFormat="1" ht="12.75">
      <c r="O43" s="253"/>
      <c r="P43" s="253"/>
    </row>
    <row r="44" spans="15:17" ht="12.75">
      <c r="O44" s="79"/>
      <c r="Q44" s="44"/>
    </row>
    <row r="45" spans="15:17" ht="12.75">
      <c r="O45" s="79"/>
      <c r="Q45" s="44"/>
    </row>
    <row r="46" spans="15:17" ht="12.75">
      <c r="O46" s="79"/>
      <c r="Q46" s="44"/>
    </row>
    <row r="47" spans="15:17" ht="12.75">
      <c r="O47" s="79"/>
      <c r="Q47" s="44"/>
    </row>
    <row r="48" spans="15:17" ht="12.75">
      <c r="O48" s="79"/>
      <c r="Q48" s="44"/>
    </row>
  </sheetData>
  <sheetProtection/>
  <mergeCells count="24">
    <mergeCell ref="A2:I2"/>
    <mergeCell ref="J2:U2"/>
    <mergeCell ref="A4:A5"/>
    <mergeCell ref="B4:D5"/>
    <mergeCell ref="E4:I4"/>
    <mergeCell ref="J4:U4"/>
    <mergeCell ref="E5:G5"/>
    <mergeCell ref="H5:I5"/>
    <mergeCell ref="J5:K5"/>
    <mergeCell ref="L5:M5"/>
    <mergeCell ref="A6:A8"/>
    <mergeCell ref="B6:D6"/>
    <mergeCell ref="E6:G6"/>
    <mergeCell ref="H6:I6"/>
    <mergeCell ref="J6:K6"/>
    <mergeCell ref="L6:M6"/>
    <mergeCell ref="N6:O6"/>
    <mergeCell ref="P6:Q6"/>
    <mergeCell ref="R6:S6"/>
    <mergeCell ref="T6:U6"/>
    <mergeCell ref="N5:O5"/>
    <mergeCell ref="P5:Q5"/>
    <mergeCell ref="R5:S5"/>
    <mergeCell ref="T5:U5"/>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32"/>
  <sheetViews>
    <sheetView showGridLines="0" view="pageBreakPreview" zoomScale="55" zoomScaleNormal="70" zoomScaleSheetLayoutView="55" zoomScalePageLayoutView="55"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6.5"/>
  <cols>
    <col min="1" max="1" width="19.625" style="158" customWidth="1"/>
    <col min="2" max="9" width="8.125" style="11" customWidth="1"/>
    <col min="10" max="19" width="8.625" style="11" customWidth="1"/>
    <col min="20" max="16384" width="9.00390625" style="11" customWidth="1"/>
  </cols>
  <sheetData>
    <row r="1" spans="1:19" s="158" customFormat="1" ht="18" customHeight="1">
      <c r="A1" s="157" t="s">
        <v>1077</v>
      </c>
      <c r="B1" s="157"/>
      <c r="M1" s="174"/>
      <c r="N1" s="174"/>
      <c r="O1" s="174"/>
      <c r="P1" s="174"/>
      <c r="Q1" s="174"/>
      <c r="R1" s="174"/>
      <c r="S1" s="159" t="s">
        <v>174</v>
      </c>
    </row>
    <row r="2" spans="1:25" s="158" customFormat="1" ht="24.75" customHeight="1">
      <c r="A2" s="686" t="s">
        <v>1172</v>
      </c>
      <c r="B2" s="686"/>
      <c r="C2" s="686"/>
      <c r="D2" s="686"/>
      <c r="E2" s="686"/>
      <c r="F2" s="686"/>
      <c r="G2" s="686"/>
      <c r="H2" s="686"/>
      <c r="I2" s="687"/>
      <c r="J2" s="686" t="s">
        <v>175</v>
      </c>
      <c r="K2" s="686"/>
      <c r="L2" s="686"/>
      <c r="M2" s="686"/>
      <c r="N2" s="686"/>
      <c r="O2" s="686"/>
      <c r="P2" s="686"/>
      <c r="Q2" s="686"/>
      <c r="R2" s="686"/>
      <c r="S2" s="686"/>
      <c r="T2" s="174"/>
      <c r="U2" s="174"/>
      <c r="V2" s="174"/>
      <c r="W2" s="174"/>
      <c r="X2" s="174"/>
      <c r="Y2" s="174"/>
    </row>
    <row r="3" spans="1:19" s="158" customFormat="1" ht="15" customHeight="1" thickBot="1">
      <c r="A3" s="179"/>
      <c r="B3" s="179"/>
      <c r="C3" s="179"/>
      <c r="D3" s="179"/>
      <c r="E3" s="179"/>
      <c r="F3" s="179"/>
      <c r="G3" s="179"/>
      <c r="H3" s="179"/>
      <c r="I3" s="176" t="s">
        <v>1083</v>
      </c>
      <c r="J3" s="179"/>
      <c r="K3" s="179"/>
      <c r="L3" s="181"/>
      <c r="M3" s="181"/>
      <c r="N3" s="181"/>
      <c r="O3" s="181"/>
      <c r="P3" s="181"/>
      <c r="Q3" s="181"/>
      <c r="S3" s="176" t="s">
        <v>176</v>
      </c>
    </row>
    <row r="4" spans="1:19" s="158" customFormat="1" ht="21.75" customHeight="1">
      <c r="A4" s="688" t="s">
        <v>712</v>
      </c>
      <c r="B4" s="689" t="s">
        <v>744</v>
      </c>
      <c r="C4" s="690"/>
      <c r="D4" s="690"/>
      <c r="E4" s="690"/>
      <c r="F4" s="690"/>
      <c r="G4" s="690"/>
      <c r="H4" s="690"/>
      <c r="I4" s="690"/>
      <c r="J4" s="690" t="s">
        <v>177</v>
      </c>
      <c r="K4" s="690"/>
      <c r="L4" s="690"/>
      <c r="M4" s="690"/>
      <c r="N4" s="690"/>
      <c r="O4" s="690"/>
      <c r="P4" s="690"/>
      <c r="Q4" s="690"/>
      <c r="R4" s="690"/>
      <c r="S4" s="691"/>
    </row>
    <row r="5" spans="1:20" s="158" customFormat="1" ht="30" customHeight="1">
      <c r="A5" s="683"/>
      <c r="B5" s="681" t="s">
        <v>745</v>
      </c>
      <c r="C5" s="681"/>
      <c r="D5" s="682" t="s">
        <v>746</v>
      </c>
      <c r="E5" s="682"/>
      <c r="F5" s="681" t="s">
        <v>747</v>
      </c>
      <c r="G5" s="681"/>
      <c r="H5" s="681" t="s">
        <v>748</v>
      </c>
      <c r="I5" s="681"/>
      <c r="J5" s="692" t="s">
        <v>749</v>
      </c>
      <c r="K5" s="681"/>
      <c r="L5" s="681" t="s">
        <v>750</v>
      </c>
      <c r="M5" s="681"/>
      <c r="N5" s="681" t="s">
        <v>751</v>
      </c>
      <c r="O5" s="681"/>
      <c r="P5" s="681" t="s">
        <v>752</v>
      </c>
      <c r="Q5" s="681"/>
      <c r="R5" s="682" t="s">
        <v>571</v>
      </c>
      <c r="S5" s="682"/>
      <c r="T5" s="181"/>
    </row>
    <row r="6" spans="1:19" s="158" customFormat="1" ht="30" customHeight="1">
      <c r="A6" s="683" t="s">
        <v>178</v>
      </c>
      <c r="B6" s="677" t="s">
        <v>179</v>
      </c>
      <c r="C6" s="678"/>
      <c r="D6" s="677" t="s">
        <v>180</v>
      </c>
      <c r="E6" s="678"/>
      <c r="F6" s="680" t="s">
        <v>181</v>
      </c>
      <c r="G6" s="678"/>
      <c r="H6" s="680" t="s">
        <v>182</v>
      </c>
      <c r="I6" s="678"/>
      <c r="J6" s="685" t="s">
        <v>183</v>
      </c>
      <c r="K6" s="678"/>
      <c r="L6" s="677" t="s">
        <v>184</v>
      </c>
      <c r="M6" s="678"/>
      <c r="N6" s="677" t="s">
        <v>185</v>
      </c>
      <c r="O6" s="679"/>
      <c r="P6" s="677" t="s">
        <v>186</v>
      </c>
      <c r="Q6" s="679"/>
      <c r="R6" s="680" t="s">
        <v>187</v>
      </c>
      <c r="S6" s="678"/>
    </row>
    <row r="7" spans="1:19" s="158" customFormat="1" ht="16.5" customHeight="1">
      <c r="A7" s="683"/>
      <c r="B7" s="156" t="s">
        <v>722</v>
      </c>
      <c r="C7" s="156" t="s">
        <v>723</v>
      </c>
      <c r="D7" s="156" t="s">
        <v>722</v>
      </c>
      <c r="E7" s="156" t="s">
        <v>723</v>
      </c>
      <c r="F7" s="156" t="s">
        <v>722</v>
      </c>
      <c r="G7" s="156" t="s">
        <v>723</v>
      </c>
      <c r="H7" s="156" t="s">
        <v>722</v>
      </c>
      <c r="I7" s="156" t="s">
        <v>723</v>
      </c>
      <c r="J7" s="165" t="s">
        <v>722</v>
      </c>
      <c r="K7" s="156" t="s">
        <v>723</v>
      </c>
      <c r="L7" s="156" t="s">
        <v>722</v>
      </c>
      <c r="M7" s="156" t="s">
        <v>723</v>
      </c>
      <c r="N7" s="156" t="s">
        <v>722</v>
      </c>
      <c r="O7" s="156" t="s">
        <v>723</v>
      </c>
      <c r="P7" s="156" t="s">
        <v>722</v>
      </c>
      <c r="Q7" s="156" t="s">
        <v>723</v>
      </c>
      <c r="R7" s="156" t="s">
        <v>722</v>
      </c>
      <c r="S7" s="156" t="s">
        <v>723</v>
      </c>
    </row>
    <row r="8" spans="1:20" s="173" customFormat="1" ht="16.5" customHeight="1" thickBot="1">
      <c r="A8" s="684"/>
      <c r="B8" s="243" t="s">
        <v>171</v>
      </c>
      <c r="C8" s="243" t="s">
        <v>172</v>
      </c>
      <c r="D8" s="243" t="s">
        <v>171</v>
      </c>
      <c r="E8" s="243" t="s">
        <v>172</v>
      </c>
      <c r="F8" s="243" t="s">
        <v>171</v>
      </c>
      <c r="G8" s="243" t="s">
        <v>172</v>
      </c>
      <c r="H8" s="243" t="s">
        <v>171</v>
      </c>
      <c r="I8" s="243" t="s">
        <v>172</v>
      </c>
      <c r="J8" s="245" t="s">
        <v>171</v>
      </c>
      <c r="K8" s="243" t="s">
        <v>172</v>
      </c>
      <c r="L8" s="243" t="s">
        <v>171</v>
      </c>
      <c r="M8" s="243" t="s">
        <v>172</v>
      </c>
      <c r="N8" s="243" t="s">
        <v>171</v>
      </c>
      <c r="O8" s="243" t="s">
        <v>172</v>
      </c>
      <c r="P8" s="243" t="s">
        <v>171</v>
      </c>
      <c r="Q8" s="243" t="s">
        <v>172</v>
      </c>
      <c r="R8" s="243" t="s">
        <v>171</v>
      </c>
      <c r="S8" s="243" t="s">
        <v>172</v>
      </c>
      <c r="T8" s="180"/>
    </row>
    <row r="9" spans="1:19" ht="25.5" customHeight="1">
      <c r="A9" s="186" t="s">
        <v>724</v>
      </c>
      <c r="B9" s="143">
        <v>193</v>
      </c>
      <c r="C9" s="143">
        <v>101</v>
      </c>
      <c r="D9" s="143">
        <v>230</v>
      </c>
      <c r="E9" s="143">
        <v>163</v>
      </c>
      <c r="F9" s="143">
        <v>738</v>
      </c>
      <c r="G9" s="143">
        <v>845</v>
      </c>
      <c r="H9" s="143">
        <v>599</v>
      </c>
      <c r="I9" s="143">
        <v>66</v>
      </c>
      <c r="J9" s="143">
        <v>3077</v>
      </c>
      <c r="K9" s="143">
        <v>3254</v>
      </c>
      <c r="L9" s="143">
        <v>4467</v>
      </c>
      <c r="M9" s="143">
        <v>2915</v>
      </c>
      <c r="N9" s="143">
        <v>126</v>
      </c>
      <c r="O9" s="143">
        <v>101</v>
      </c>
      <c r="P9" s="143">
        <v>57</v>
      </c>
      <c r="Q9" s="143">
        <v>50</v>
      </c>
      <c r="R9" s="143">
        <v>179</v>
      </c>
      <c r="S9" s="143">
        <v>154</v>
      </c>
    </row>
    <row r="10" spans="1:19" ht="25.5" customHeight="1">
      <c r="A10" s="186" t="s">
        <v>541</v>
      </c>
      <c r="B10" s="143">
        <v>179</v>
      </c>
      <c r="C10" s="143">
        <v>97</v>
      </c>
      <c r="D10" s="143">
        <v>243</v>
      </c>
      <c r="E10" s="143">
        <v>158</v>
      </c>
      <c r="F10" s="143">
        <v>828</v>
      </c>
      <c r="G10" s="143">
        <v>929</v>
      </c>
      <c r="H10" s="143">
        <v>703</v>
      </c>
      <c r="I10" s="143">
        <v>80</v>
      </c>
      <c r="J10" s="143">
        <v>3158</v>
      </c>
      <c r="K10" s="143">
        <v>3428</v>
      </c>
      <c r="L10" s="143">
        <v>4446</v>
      </c>
      <c r="M10" s="143">
        <v>2935</v>
      </c>
      <c r="N10" s="143">
        <v>148</v>
      </c>
      <c r="O10" s="143">
        <v>120</v>
      </c>
      <c r="P10" s="143">
        <v>67</v>
      </c>
      <c r="Q10" s="143">
        <v>56</v>
      </c>
      <c r="R10" s="143">
        <v>168</v>
      </c>
      <c r="S10" s="143">
        <v>130</v>
      </c>
    </row>
    <row r="11" spans="1:19" ht="25.5" customHeight="1">
      <c r="A11" s="186" t="s">
        <v>725</v>
      </c>
      <c r="B11" s="143">
        <v>190</v>
      </c>
      <c r="C11" s="143">
        <v>100</v>
      </c>
      <c r="D11" s="143">
        <v>245</v>
      </c>
      <c r="E11" s="143">
        <v>155</v>
      </c>
      <c r="F11" s="143">
        <v>873</v>
      </c>
      <c r="G11" s="143">
        <v>1018</v>
      </c>
      <c r="H11" s="143">
        <v>795</v>
      </c>
      <c r="I11" s="143">
        <v>90</v>
      </c>
      <c r="J11" s="143">
        <v>3317</v>
      </c>
      <c r="K11" s="143">
        <v>3618</v>
      </c>
      <c r="L11" s="143">
        <v>4782</v>
      </c>
      <c r="M11" s="143">
        <v>3143</v>
      </c>
      <c r="N11" s="143">
        <v>153</v>
      </c>
      <c r="O11" s="143">
        <v>136</v>
      </c>
      <c r="P11" s="143">
        <v>73</v>
      </c>
      <c r="Q11" s="143">
        <v>58</v>
      </c>
      <c r="R11" s="143">
        <v>164</v>
      </c>
      <c r="S11" s="143">
        <v>128</v>
      </c>
    </row>
    <row r="12" spans="1:19" ht="25.5" customHeight="1">
      <c r="A12" s="186" t="s">
        <v>726</v>
      </c>
      <c r="B12" s="143">
        <v>191</v>
      </c>
      <c r="C12" s="143">
        <v>107</v>
      </c>
      <c r="D12" s="143">
        <v>250</v>
      </c>
      <c r="E12" s="143">
        <v>160</v>
      </c>
      <c r="F12" s="143">
        <v>939</v>
      </c>
      <c r="G12" s="143">
        <v>1137</v>
      </c>
      <c r="H12" s="143">
        <v>864</v>
      </c>
      <c r="I12" s="143">
        <v>97</v>
      </c>
      <c r="J12" s="143">
        <v>3464</v>
      </c>
      <c r="K12" s="143">
        <v>3779</v>
      </c>
      <c r="L12" s="143">
        <v>5087</v>
      </c>
      <c r="M12" s="143">
        <v>3366</v>
      </c>
      <c r="N12" s="143">
        <v>165</v>
      </c>
      <c r="O12" s="143">
        <v>149</v>
      </c>
      <c r="P12" s="143">
        <v>77</v>
      </c>
      <c r="Q12" s="143">
        <v>68</v>
      </c>
      <c r="R12" s="143">
        <v>163</v>
      </c>
      <c r="S12" s="143">
        <v>133</v>
      </c>
    </row>
    <row r="13" spans="1:19" ht="25.5" customHeight="1">
      <c r="A13" s="186" t="s">
        <v>727</v>
      </c>
      <c r="B13" s="143">
        <v>197</v>
      </c>
      <c r="C13" s="143">
        <v>101</v>
      </c>
      <c r="D13" s="143">
        <v>209</v>
      </c>
      <c r="E13" s="143">
        <v>146</v>
      </c>
      <c r="F13" s="143">
        <v>933</v>
      </c>
      <c r="G13" s="143">
        <v>1179</v>
      </c>
      <c r="H13" s="143">
        <v>938</v>
      </c>
      <c r="I13" s="143">
        <v>112</v>
      </c>
      <c r="J13" s="143">
        <v>3574</v>
      </c>
      <c r="K13" s="143">
        <v>3875</v>
      </c>
      <c r="L13" s="143">
        <v>4912</v>
      </c>
      <c r="M13" s="143">
        <v>3383</v>
      </c>
      <c r="N13" s="143">
        <v>176</v>
      </c>
      <c r="O13" s="143">
        <v>149</v>
      </c>
      <c r="P13" s="143">
        <v>78</v>
      </c>
      <c r="Q13" s="143">
        <v>78</v>
      </c>
      <c r="R13" s="143">
        <v>165</v>
      </c>
      <c r="S13" s="143">
        <v>121</v>
      </c>
    </row>
    <row r="14" spans="1:20" ht="25.5" customHeight="1">
      <c r="A14" s="186" t="s">
        <v>728</v>
      </c>
      <c r="B14" s="143">
        <v>188</v>
      </c>
      <c r="C14" s="143">
        <v>104</v>
      </c>
      <c r="D14" s="143">
        <v>147</v>
      </c>
      <c r="E14" s="143">
        <v>94</v>
      </c>
      <c r="F14" s="143">
        <v>376</v>
      </c>
      <c r="G14" s="143">
        <v>578</v>
      </c>
      <c r="H14" s="143">
        <v>521</v>
      </c>
      <c r="I14" s="143">
        <v>80</v>
      </c>
      <c r="J14" s="143">
        <v>1713</v>
      </c>
      <c r="K14" s="143">
        <v>1975</v>
      </c>
      <c r="L14" s="143">
        <v>3327</v>
      </c>
      <c r="M14" s="143">
        <v>2356</v>
      </c>
      <c r="N14" s="143">
        <v>74</v>
      </c>
      <c r="O14" s="143">
        <v>50</v>
      </c>
      <c r="P14" s="143">
        <v>104</v>
      </c>
      <c r="Q14" s="143">
        <v>101</v>
      </c>
      <c r="R14" s="143">
        <v>190</v>
      </c>
      <c r="S14" s="143">
        <v>145</v>
      </c>
      <c r="T14" s="14"/>
    </row>
    <row r="15" spans="1:20" ht="25.5" customHeight="1">
      <c r="A15" s="306" t="s">
        <v>729</v>
      </c>
      <c r="B15" s="126">
        <v>174</v>
      </c>
      <c r="C15" s="126">
        <v>91</v>
      </c>
      <c r="D15" s="126">
        <v>140</v>
      </c>
      <c r="E15" s="126">
        <v>97</v>
      </c>
      <c r="F15" s="126">
        <v>360</v>
      </c>
      <c r="G15" s="126">
        <v>465</v>
      </c>
      <c r="H15" s="126">
        <v>392</v>
      </c>
      <c r="I15" s="126">
        <v>49</v>
      </c>
      <c r="J15" s="126">
        <v>1731</v>
      </c>
      <c r="K15" s="126">
        <v>1913</v>
      </c>
      <c r="L15" s="126">
        <v>3110</v>
      </c>
      <c r="M15" s="126">
        <v>2167</v>
      </c>
      <c r="N15" s="126">
        <v>15</v>
      </c>
      <c r="O15" s="126">
        <v>10</v>
      </c>
      <c r="P15" s="126">
        <v>62</v>
      </c>
      <c r="Q15" s="126">
        <v>57</v>
      </c>
      <c r="R15" s="126">
        <v>145</v>
      </c>
      <c r="S15" s="126">
        <v>100</v>
      </c>
      <c r="T15" s="14"/>
    </row>
    <row r="16" spans="1:19" ht="25.5" customHeight="1">
      <c r="A16" s="186" t="s">
        <v>730</v>
      </c>
      <c r="B16" s="126">
        <v>146</v>
      </c>
      <c r="C16" s="126">
        <v>85</v>
      </c>
      <c r="D16" s="126">
        <v>108</v>
      </c>
      <c r="E16" s="126">
        <v>85</v>
      </c>
      <c r="F16" s="126">
        <v>236</v>
      </c>
      <c r="G16" s="126">
        <v>316</v>
      </c>
      <c r="H16" s="126">
        <v>186</v>
      </c>
      <c r="I16" s="126">
        <v>24</v>
      </c>
      <c r="J16" s="126">
        <v>1660</v>
      </c>
      <c r="K16" s="126">
        <v>1835</v>
      </c>
      <c r="L16" s="126">
        <v>2472</v>
      </c>
      <c r="M16" s="126">
        <v>1713</v>
      </c>
      <c r="N16" s="126">
        <v>10</v>
      </c>
      <c r="O16" s="126">
        <v>9</v>
      </c>
      <c r="P16" s="126">
        <v>43</v>
      </c>
      <c r="Q16" s="126">
        <v>38</v>
      </c>
      <c r="R16" s="126">
        <v>104</v>
      </c>
      <c r="S16" s="126">
        <v>74</v>
      </c>
    </row>
    <row r="17" spans="1:19" ht="25.5" customHeight="1">
      <c r="A17" s="306" t="s">
        <v>880</v>
      </c>
      <c r="B17" s="126">
        <v>88</v>
      </c>
      <c r="C17" s="126">
        <v>46</v>
      </c>
      <c r="D17" s="126">
        <v>56</v>
      </c>
      <c r="E17" s="126">
        <v>46</v>
      </c>
      <c r="F17" s="126">
        <v>175</v>
      </c>
      <c r="G17" s="126">
        <v>253</v>
      </c>
      <c r="H17" s="126">
        <v>43</v>
      </c>
      <c r="I17" s="126">
        <v>6</v>
      </c>
      <c r="J17" s="126">
        <v>781</v>
      </c>
      <c r="K17" s="126">
        <v>1068</v>
      </c>
      <c r="L17" s="126">
        <v>1753</v>
      </c>
      <c r="M17" s="126">
        <v>1226</v>
      </c>
      <c r="N17" s="126">
        <v>5</v>
      </c>
      <c r="O17" s="126">
        <v>2</v>
      </c>
      <c r="P17" s="126">
        <v>11</v>
      </c>
      <c r="Q17" s="126">
        <v>15</v>
      </c>
      <c r="R17" s="126">
        <v>43</v>
      </c>
      <c r="S17" s="126">
        <v>36</v>
      </c>
    </row>
    <row r="18" spans="1:19" ht="25.5" customHeight="1">
      <c r="A18" s="186" t="s">
        <v>1195</v>
      </c>
      <c r="B18" s="143">
        <f>SUM(B19:B31)</f>
        <v>24</v>
      </c>
      <c r="C18" s="143">
        <f aca="true" t="shared" si="0" ref="C18:S18">SUM(C19:C31)</f>
        <v>14</v>
      </c>
      <c r="D18" s="143">
        <f t="shared" si="0"/>
        <v>20</v>
      </c>
      <c r="E18" s="143">
        <f t="shared" si="0"/>
        <v>16</v>
      </c>
      <c r="F18" s="143">
        <f t="shared" si="0"/>
        <v>72</v>
      </c>
      <c r="G18" s="143">
        <f t="shared" si="0"/>
        <v>136</v>
      </c>
      <c r="H18" s="143">
        <f t="shared" si="0"/>
        <v>16</v>
      </c>
      <c r="I18" s="143">
        <f t="shared" si="0"/>
        <v>2</v>
      </c>
      <c r="J18" s="143">
        <f t="shared" si="0"/>
        <v>235</v>
      </c>
      <c r="K18" s="143">
        <f t="shared" si="0"/>
        <v>270</v>
      </c>
      <c r="L18" s="143">
        <f t="shared" si="0"/>
        <v>413</v>
      </c>
      <c r="M18" s="143">
        <f t="shared" si="0"/>
        <v>345</v>
      </c>
      <c r="N18" s="143">
        <f t="shared" si="0"/>
        <v>0</v>
      </c>
      <c r="O18" s="143">
        <f t="shared" si="0"/>
        <v>0</v>
      </c>
      <c r="P18" s="143">
        <f t="shared" si="0"/>
        <v>4</v>
      </c>
      <c r="Q18" s="143">
        <f t="shared" si="0"/>
        <v>4</v>
      </c>
      <c r="R18" s="143">
        <f t="shared" si="0"/>
        <v>14</v>
      </c>
      <c r="S18" s="143">
        <f t="shared" si="0"/>
        <v>9</v>
      </c>
    </row>
    <row r="19" spans="1:20" ht="25.5" customHeight="1">
      <c r="A19" s="304" t="s">
        <v>731</v>
      </c>
      <c r="B19" s="126">
        <v>3</v>
      </c>
      <c r="C19" s="126">
        <v>3</v>
      </c>
      <c r="D19" s="126">
        <v>2</v>
      </c>
      <c r="E19" s="126">
        <v>0</v>
      </c>
      <c r="F19" s="126">
        <v>16</v>
      </c>
      <c r="G19" s="126">
        <v>23</v>
      </c>
      <c r="H19" s="126">
        <v>4</v>
      </c>
      <c r="I19" s="126">
        <v>1</v>
      </c>
      <c r="J19" s="126">
        <v>24</v>
      </c>
      <c r="K19" s="126">
        <v>44</v>
      </c>
      <c r="L19" s="126">
        <v>76</v>
      </c>
      <c r="M19" s="126">
        <v>51</v>
      </c>
      <c r="N19" s="126">
        <v>0</v>
      </c>
      <c r="O19" s="120">
        <v>0</v>
      </c>
      <c r="P19" s="126">
        <v>0</v>
      </c>
      <c r="Q19" s="126">
        <v>3</v>
      </c>
      <c r="R19" s="126">
        <v>1</v>
      </c>
      <c r="S19" s="126">
        <v>1</v>
      </c>
      <c r="T19" s="14"/>
    </row>
    <row r="20" spans="1:20" ht="25.5" customHeight="1">
      <c r="A20" s="304" t="s">
        <v>732</v>
      </c>
      <c r="B20" s="126">
        <v>4</v>
      </c>
      <c r="C20" s="126">
        <v>1</v>
      </c>
      <c r="D20" s="126">
        <v>3</v>
      </c>
      <c r="E20" s="126">
        <v>2</v>
      </c>
      <c r="F20" s="126">
        <v>16</v>
      </c>
      <c r="G20" s="126">
        <v>17</v>
      </c>
      <c r="H20" s="126">
        <v>1</v>
      </c>
      <c r="I20" s="126">
        <v>0</v>
      </c>
      <c r="J20" s="126">
        <v>39</v>
      </c>
      <c r="K20" s="126">
        <v>53</v>
      </c>
      <c r="L20" s="126">
        <v>94</v>
      </c>
      <c r="M20" s="126">
        <v>81</v>
      </c>
      <c r="N20" s="126">
        <v>0</v>
      </c>
      <c r="O20" s="120">
        <v>0</v>
      </c>
      <c r="P20" s="126">
        <v>0</v>
      </c>
      <c r="Q20" s="126">
        <v>0</v>
      </c>
      <c r="R20" s="126">
        <v>2</v>
      </c>
      <c r="S20" s="126">
        <v>1</v>
      </c>
      <c r="T20" s="14"/>
    </row>
    <row r="21" spans="1:20" ht="25.5" customHeight="1">
      <c r="A21" s="304" t="s">
        <v>733</v>
      </c>
      <c r="B21" s="126">
        <v>0</v>
      </c>
      <c r="C21" s="126">
        <v>1</v>
      </c>
      <c r="D21" s="126">
        <v>0</v>
      </c>
      <c r="E21" s="126">
        <v>2</v>
      </c>
      <c r="F21" s="126">
        <v>4</v>
      </c>
      <c r="G21" s="126">
        <v>10</v>
      </c>
      <c r="H21" s="126">
        <v>1</v>
      </c>
      <c r="I21" s="130">
        <v>0</v>
      </c>
      <c r="J21" s="126">
        <v>13</v>
      </c>
      <c r="K21" s="126">
        <v>15</v>
      </c>
      <c r="L21" s="126">
        <v>28</v>
      </c>
      <c r="M21" s="126">
        <v>20</v>
      </c>
      <c r="N21" s="120">
        <v>0</v>
      </c>
      <c r="O21" s="120">
        <v>0</v>
      </c>
      <c r="P21" s="126">
        <v>0</v>
      </c>
      <c r="Q21" s="126">
        <v>0</v>
      </c>
      <c r="R21" s="126">
        <v>1</v>
      </c>
      <c r="S21" s="126">
        <v>0</v>
      </c>
      <c r="T21" s="14"/>
    </row>
    <row r="22" spans="1:20" ht="25.5" customHeight="1">
      <c r="A22" s="304" t="s">
        <v>734</v>
      </c>
      <c r="B22" s="126">
        <v>2</v>
      </c>
      <c r="C22" s="126">
        <v>0</v>
      </c>
      <c r="D22" s="126">
        <v>0</v>
      </c>
      <c r="E22" s="126">
        <v>0</v>
      </c>
      <c r="F22" s="126">
        <v>3</v>
      </c>
      <c r="G22" s="126">
        <v>5</v>
      </c>
      <c r="H22" s="126">
        <v>0</v>
      </c>
      <c r="I22" s="126">
        <v>1</v>
      </c>
      <c r="J22" s="126">
        <v>20</v>
      </c>
      <c r="K22" s="126">
        <v>14</v>
      </c>
      <c r="L22" s="126">
        <v>13</v>
      </c>
      <c r="M22" s="126">
        <v>25</v>
      </c>
      <c r="N22" s="126">
        <v>0</v>
      </c>
      <c r="O22" s="120">
        <v>0</v>
      </c>
      <c r="P22" s="126">
        <v>1</v>
      </c>
      <c r="Q22" s="120">
        <v>0</v>
      </c>
      <c r="R22" s="126">
        <v>1</v>
      </c>
      <c r="S22" s="126">
        <v>2</v>
      </c>
      <c r="T22" s="14"/>
    </row>
    <row r="23" spans="1:20" ht="25.5" customHeight="1">
      <c r="A23" s="304" t="s">
        <v>735</v>
      </c>
      <c r="B23" s="126">
        <v>2</v>
      </c>
      <c r="C23" s="126">
        <v>3</v>
      </c>
      <c r="D23" s="126">
        <v>3</v>
      </c>
      <c r="E23" s="126">
        <v>2</v>
      </c>
      <c r="F23" s="126">
        <v>6</v>
      </c>
      <c r="G23" s="126">
        <v>11</v>
      </c>
      <c r="H23" s="126">
        <v>1</v>
      </c>
      <c r="I23" s="120">
        <v>0</v>
      </c>
      <c r="J23" s="126">
        <v>18</v>
      </c>
      <c r="K23" s="126">
        <v>17</v>
      </c>
      <c r="L23" s="126">
        <v>31</v>
      </c>
      <c r="M23" s="126">
        <v>24</v>
      </c>
      <c r="N23" s="126">
        <v>0</v>
      </c>
      <c r="O23" s="120">
        <v>0</v>
      </c>
      <c r="P23" s="126">
        <v>0</v>
      </c>
      <c r="Q23" s="126">
        <v>0</v>
      </c>
      <c r="R23" s="126">
        <v>0</v>
      </c>
      <c r="S23" s="126">
        <v>1</v>
      </c>
      <c r="T23" s="14"/>
    </row>
    <row r="24" spans="1:20" ht="25.5" customHeight="1">
      <c r="A24" s="304" t="s">
        <v>736</v>
      </c>
      <c r="B24" s="126">
        <v>1</v>
      </c>
      <c r="C24" s="126">
        <v>1</v>
      </c>
      <c r="D24" s="126">
        <v>2</v>
      </c>
      <c r="E24" s="126">
        <v>0</v>
      </c>
      <c r="F24" s="126">
        <v>3</v>
      </c>
      <c r="G24" s="126">
        <v>14</v>
      </c>
      <c r="H24" s="126">
        <v>1</v>
      </c>
      <c r="I24" s="120">
        <v>0</v>
      </c>
      <c r="J24" s="126">
        <v>6</v>
      </c>
      <c r="K24" s="126">
        <v>8</v>
      </c>
      <c r="L24" s="126">
        <v>22</v>
      </c>
      <c r="M24" s="126">
        <v>14</v>
      </c>
      <c r="N24" s="120">
        <v>0</v>
      </c>
      <c r="O24" s="120">
        <v>0</v>
      </c>
      <c r="P24" s="120">
        <v>0</v>
      </c>
      <c r="Q24" s="120">
        <v>0</v>
      </c>
      <c r="R24" s="126">
        <v>1</v>
      </c>
      <c r="S24" s="126">
        <v>0</v>
      </c>
      <c r="T24" s="14"/>
    </row>
    <row r="25" spans="1:20" ht="25.5" customHeight="1">
      <c r="A25" s="304" t="s">
        <v>737</v>
      </c>
      <c r="B25" s="126">
        <v>4</v>
      </c>
      <c r="C25" s="126">
        <v>1</v>
      </c>
      <c r="D25" s="126">
        <v>1</v>
      </c>
      <c r="E25" s="126">
        <v>3</v>
      </c>
      <c r="F25" s="126">
        <v>3</v>
      </c>
      <c r="G25" s="126">
        <v>9</v>
      </c>
      <c r="H25" s="126">
        <v>0</v>
      </c>
      <c r="I25" s="126">
        <v>0</v>
      </c>
      <c r="J25" s="126">
        <v>30</v>
      </c>
      <c r="K25" s="126">
        <v>24</v>
      </c>
      <c r="L25" s="126">
        <v>25</v>
      </c>
      <c r="M25" s="126">
        <v>24</v>
      </c>
      <c r="N25" s="120">
        <v>0</v>
      </c>
      <c r="O25" s="126">
        <v>0</v>
      </c>
      <c r="P25" s="126">
        <v>2</v>
      </c>
      <c r="Q25" s="120">
        <v>0</v>
      </c>
      <c r="R25" s="126">
        <v>3</v>
      </c>
      <c r="S25" s="126">
        <v>2</v>
      </c>
      <c r="T25" s="14"/>
    </row>
    <row r="26" spans="1:20" ht="25.5" customHeight="1">
      <c r="A26" s="304" t="s">
        <v>738</v>
      </c>
      <c r="B26" s="126">
        <v>3</v>
      </c>
      <c r="C26" s="126">
        <v>1</v>
      </c>
      <c r="D26" s="126">
        <v>1</v>
      </c>
      <c r="E26" s="126">
        <v>1</v>
      </c>
      <c r="F26" s="126">
        <v>6</v>
      </c>
      <c r="G26" s="126">
        <v>18</v>
      </c>
      <c r="H26" s="126">
        <v>4</v>
      </c>
      <c r="I26" s="120">
        <v>0</v>
      </c>
      <c r="J26" s="126">
        <v>26</v>
      </c>
      <c r="K26" s="126">
        <v>23</v>
      </c>
      <c r="L26" s="126">
        <v>35</v>
      </c>
      <c r="M26" s="126">
        <v>31</v>
      </c>
      <c r="N26" s="120">
        <v>0</v>
      </c>
      <c r="O26" s="126">
        <v>0</v>
      </c>
      <c r="P26" s="126">
        <v>1</v>
      </c>
      <c r="Q26" s="120">
        <v>0</v>
      </c>
      <c r="R26" s="126">
        <v>1</v>
      </c>
      <c r="S26" s="126">
        <v>0</v>
      </c>
      <c r="T26" s="14"/>
    </row>
    <row r="27" spans="1:20" ht="25.5" customHeight="1">
      <c r="A27" s="304" t="s">
        <v>739</v>
      </c>
      <c r="B27" s="126">
        <v>0</v>
      </c>
      <c r="C27" s="126">
        <v>1</v>
      </c>
      <c r="D27" s="126">
        <v>3</v>
      </c>
      <c r="E27" s="126">
        <v>3</v>
      </c>
      <c r="F27" s="126">
        <v>5</v>
      </c>
      <c r="G27" s="126">
        <v>7</v>
      </c>
      <c r="H27" s="126">
        <v>1</v>
      </c>
      <c r="I27" s="120">
        <v>0</v>
      </c>
      <c r="J27" s="126">
        <v>15</v>
      </c>
      <c r="K27" s="126">
        <v>14</v>
      </c>
      <c r="L27" s="126">
        <v>24</v>
      </c>
      <c r="M27" s="126">
        <v>19</v>
      </c>
      <c r="N27" s="120">
        <v>0</v>
      </c>
      <c r="O27" s="120">
        <v>0</v>
      </c>
      <c r="P27" s="120">
        <v>0</v>
      </c>
      <c r="Q27" s="120">
        <v>0</v>
      </c>
      <c r="R27" s="126">
        <v>1</v>
      </c>
      <c r="S27" s="126">
        <v>0</v>
      </c>
      <c r="T27" s="14"/>
    </row>
    <row r="28" spans="1:20" ht="25.5" customHeight="1">
      <c r="A28" s="304" t="s">
        <v>740</v>
      </c>
      <c r="B28" s="126">
        <v>1</v>
      </c>
      <c r="C28" s="126">
        <v>2</v>
      </c>
      <c r="D28" s="126">
        <v>2</v>
      </c>
      <c r="E28" s="126">
        <v>2</v>
      </c>
      <c r="F28" s="126">
        <v>7</v>
      </c>
      <c r="G28" s="126">
        <v>9</v>
      </c>
      <c r="H28" s="126">
        <v>2</v>
      </c>
      <c r="I28" s="120">
        <v>0</v>
      </c>
      <c r="J28" s="126">
        <v>21</v>
      </c>
      <c r="K28" s="126">
        <v>31</v>
      </c>
      <c r="L28" s="126">
        <v>37</v>
      </c>
      <c r="M28" s="126">
        <v>27</v>
      </c>
      <c r="N28" s="120">
        <v>0</v>
      </c>
      <c r="O28" s="120">
        <v>0</v>
      </c>
      <c r="P28" s="120">
        <v>0</v>
      </c>
      <c r="Q28" s="120">
        <v>0</v>
      </c>
      <c r="R28" s="126">
        <v>2</v>
      </c>
      <c r="S28" s="126">
        <v>1</v>
      </c>
      <c r="T28" s="14"/>
    </row>
    <row r="29" spans="1:20" ht="25.5" customHeight="1">
      <c r="A29" s="304" t="s">
        <v>741</v>
      </c>
      <c r="B29" s="126">
        <v>4</v>
      </c>
      <c r="C29" s="126">
        <v>0</v>
      </c>
      <c r="D29" s="126">
        <v>1</v>
      </c>
      <c r="E29" s="126">
        <v>0</v>
      </c>
      <c r="F29" s="126">
        <v>2</v>
      </c>
      <c r="G29" s="126">
        <v>7</v>
      </c>
      <c r="H29" s="120">
        <v>0</v>
      </c>
      <c r="I29" s="120">
        <v>0</v>
      </c>
      <c r="J29" s="126">
        <v>11</v>
      </c>
      <c r="K29" s="126">
        <v>14</v>
      </c>
      <c r="L29" s="126">
        <v>7</v>
      </c>
      <c r="M29" s="126">
        <v>12</v>
      </c>
      <c r="N29" s="120">
        <v>0</v>
      </c>
      <c r="O29" s="120">
        <v>0</v>
      </c>
      <c r="P29" s="120">
        <v>0</v>
      </c>
      <c r="Q29" s="120">
        <v>0</v>
      </c>
      <c r="R29" s="126">
        <v>1</v>
      </c>
      <c r="S29" s="126">
        <v>0</v>
      </c>
      <c r="T29" s="14"/>
    </row>
    <row r="30" spans="1:20" ht="25.5" customHeight="1">
      <c r="A30" s="304" t="s">
        <v>742</v>
      </c>
      <c r="B30" s="120">
        <v>0</v>
      </c>
      <c r="C30" s="126">
        <v>0</v>
      </c>
      <c r="D30" s="126">
        <v>2</v>
      </c>
      <c r="E30" s="126">
        <v>0</v>
      </c>
      <c r="F30" s="126">
        <v>1</v>
      </c>
      <c r="G30" s="126">
        <v>4</v>
      </c>
      <c r="H30" s="126">
        <v>1</v>
      </c>
      <c r="I30" s="120">
        <v>0</v>
      </c>
      <c r="J30" s="126">
        <v>9</v>
      </c>
      <c r="K30" s="126">
        <v>9</v>
      </c>
      <c r="L30" s="126">
        <v>17</v>
      </c>
      <c r="M30" s="126">
        <v>14</v>
      </c>
      <c r="N30" s="120">
        <v>0</v>
      </c>
      <c r="O30" s="120">
        <v>0</v>
      </c>
      <c r="P30" s="120">
        <v>0</v>
      </c>
      <c r="Q30" s="126">
        <v>1</v>
      </c>
      <c r="R30" s="126">
        <v>0</v>
      </c>
      <c r="S30" s="126">
        <v>1</v>
      </c>
      <c r="T30" s="14"/>
    </row>
    <row r="31" spans="1:20" ht="25.5" customHeight="1" thickBot="1">
      <c r="A31" s="305" t="s">
        <v>743</v>
      </c>
      <c r="B31" s="131">
        <v>0</v>
      </c>
      <c r="C31" s="131">
        <v>0</v>
      </c>
      <c r="D31" s="131">
        <v>0</v>
      </c>
      <c r="E31" s="127">
        <v>1</v>
      </c>
      <c r="F31" s="127">
        <v>0</v>
      </c>
      <c r="G31" s="127">
        <v>2</v>
      </c>
      <c r="H31" s="131">
        <v>0</v>
      </c>
      <c r="I31" s="131">
        <v>0</v>
      </c>
      <c r="J31" s="127">
        <v>3</v>
      </c>
      <c r="K31" s="127">
        <v>4</v>
      </c>
      <c r="L31" s="127">
        <v>4</v>
      </c>
      <c r="M31" s="127">
        <v>3</v>
      </c>
      <c r="N31" s="131">
        <v>0</v>
      </c>
      <c r="O31" s="131">
        <v>0</v>
      </c>
      <c r="P31" s="131">
        <v>0</v>
      </c>
      <c r="Q31" s="127">
        <v>0</v>
      </c>
      <c r="R31" s="127">
        <v>0</v>
      </c>
      <c r="S31" s="127">
        <v>0</v>
      </c>
      <c r="T31" s="14"/>
    </row>
    <row r="32" spans="1:19" ht="15" customHeight="1">
      <c r="A32" s="289"/>
      <c r="B32" s="34"/>
      <c r="C32" s="34"/>
      <c r="D32" s="34"/>
      <c r="E32" s="34"/>
      <c r="F32" s="34"/>
      <c r="G32" s="34"/>
      <c r="H32" s="34"/>
      <c r="I32" s="34"/>
      <c r="J32" s="34"/>
      <c r="K32" s="34"/>
      <c r="L32" s="34"/>
      <c r="M32" s="34"/>
      <c r="N32" s="34"/>
      <c r="O32" s="34"/>
      <c r="P32" s="34"/>
      <c r="Q32" s="34"/>
      <c r="R32" s="34"/>
      <c r="S32" s="34"/>
    </row>
  </sheetData>
  <sheetProtection/>
  <mergeCells count="24">
    <mergeCell ref="A2:I2"/>
    <mergeCell ref="J2:S2"/>
    <mergeCell ref="A4:A5"/>
    <mergeCell ref="B4:I4"/>
    <mergeCell ref="J4:S4"/>
    <mergeCell ref="B5:C5"/>
    <mergeCell ref="D5:E5"/>
    <mergeCell ref="F5:G5"/>
    <mergeCell ref="H5:I5"/>
    <mergeCell ref="J5:K5"/>
    <mergeCell ref="A6:A8"/>
    <mergeCell ref="B6:C6"/>
    <mergeCell ref="D6:E6"/>
    <mergeCell ref="F6:G6"/>
    <mergeCell ref="H6:I6"/>
    <mergeCell ref="J6:K6"/>
    <mergeCell ref="L6:M6"/>
    <mergeCell ref="N6:O6"/>
    <mergeCell ref="P6:Q6"/>
    <mergeCell ref="R6:S6"/>
    <mergeCell ref="L5:M5"/>
    <mergeCell ref="N5:O5"/>
    <mergeCell ref="P5:Q5"/>
    <mergeCell ref="R5:S5"/>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E32"/>
  <sheetViews>
    <sheetView showGridLines="0" view="pageBreakPreview" zoomScale="55" zoomScaleNormal="85" zoomScaleSheetLayoutView="55"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6.5"/>
  <cols>
    <col min="1" max="1" width="19.00390625" style="158" customWidth="1"/>
    <col min="2" max="4" width="5.875" style="11" customWidth="1"/>
    <col min="5" max="10" width="6.125" style="11" customWidth="1"/>
    <col min="11" max="12" width="6.625" style="11" customWidth="1"/>
    <col min="13" max="16" width="6.375" style="11" customWidth="1"/>
    <col min="17" max="18" width="7.125" style="11" customWidth="1"/>
    <col min="19" max="22" width="6.125" style="11" customWidth="1"/>
    <col min="23" max="24" width="5.875" style="11" customWidth="1"/>
    <col min="25" max="25" width="8.625" style="11" customWidth="1"/>
    <col min="26" max="26" width="9.00390625" style="11" customWidth="1"/>
    <col min="27" max="27" width="14.75390625" style="11" hidden="1" customWidth="1"/>
    <col min="28" max="31" width="0" style="11" hidden="1" customWidth="1"/>
    <col min="32" max="16384" width="9.00390625" style="11" customWidth="1"/>
  </cols>
  <sheetData>
    <row r="1" spans="1:25" s="158" customFormat="1" ht="18" customHeight="1">
      <c r="A1" s="157" t="s">
        <v>1077</v>
      </c>
      <c r="B1" s="157"/>
      <c r="C1" s="157"/>
      <c r="D1" s="157"/>
      <c r="E1" s="157"/>
      <c r="P1" s="174"/>
      <c r="Q1" s="174"/>
      <c r="R1" s="174"/>
      <c r="S1" s="174"/>
      <c r="T1" s="174"/>
      <c r="U1" s="174"/>
      <c r="V1" s="174"/>
      <c r="W1" s="174"/>
      <c r="X1" s="174"/>
      <c r="Y1" s="159" t="s">
        <v>188</v>
      </c>
    </row>
    <row r="2" spans="1:31" s="158" customFormat="1" ht="24.75" customHeight="1">
      <c r="A2" s="686" t="s">
        <v>1170</v>
      </c>
      <c r="B2" s="686"/>
      <c r="C2" s="686"/>
      <c r="D2" s="686"/>
      <c r="E2" s="686"/>
      <c r="F2" s="686"/>
      <c r="G2" s="686"/>
      <c r="H2" s="686"/>
      <c r="I2" s="687"/>
      <c r="J2" s="687"/>
      <c r="K2" s="687"/>
      <c r="L2" s="687"/>
      <c r="M2" s="686" t="s">
        <v>189</v>
      </c>
      <c r="N2" s="686"/>
      <c r="O2" s="686"/>
      <c r="P2" s="686"/>
      <c r="Q2" s="686"/>
      <c r="R2" s="686"/>
      <c r="S2" s="686"/>
      <c r="T2" s="686"/>
      <c r="U2" s="686"/>
      <c r="V2" s="686"/>
      <c r="W2" s="686"/>
      <c r="X2" s="686"/>
      <c r="Y2" s="686"/>
      <c r="Z2" s="174"/>
      <c r="AA2" s="174"/>
      <c r="AB2" s="174"/>
      <c r="AC2" s="174"/>
      <c r="AD2" s="174"/>
      <c r="AE2" s="174"/>
    </row>
    <row r="3" spans="1:25" s="158" customFormat="1" ht="15" customHeight="1" thickBot="1">
      <c r="A3" s="179"/>
      <c r="B3" s="179"/>
      <c r="C3" s="179"/>
      <c r="D3" s="179"/>
      <c r="E3" s="179"/>
      <c r="F3" s="179"/>
      <c r="G3" s="179"/>
      <c r="H3" s="179"/>
      <c r="I3" s="179"/>
      <c r="J3" s="179"/>
      <c r="K3" s="179"/>
      <c r="L3" s="176" t="s">
        <v>1083</v>
      </c>
      <c r="M3" s="179"/>
      <c r="N3" s="179"/>
      <c r="O3" s="181"/>
      <c r="P3" s="181"/>
      <c r="Q3" s="181"/>
      <c r="R3" s="181"/>
      <c r="S3" s="181"/>
      <c r="T3" s="181"/>
      <c r="U3" s="181"/>
      <c r="V3" s="181"/>
      <c r="W3" s="181"/>
      <c r="X3" s="181"/>
      <c r="Y3" s="176" t="s">
        <v>190</v>
      </c>
    </row>
    <row r="4" spans="1:25" s="158" customFormat="1" ht="18" customHeight="1">
      <c r="A4" s="688" t="s">
        <v>712</v>
      </c>
      <c r="B4" s="689" t="s">
        <v>713</v>
      </c>
      <c r="C4" s="690"/>
      <c r="D4" s="690"/>
      <c r="E4" s="690"/>
      <c r="F4" s="690"/>
      <c r="G4" s="690"/>
      <c r="H4" s="690"/>
      <c r="I4" s="690"/>
      <c r="J4" s="690"/>
      <c r="K4" s="690"/>
      <c r="L4" s="690"/>
      <c r="M4" s="690" t="s">
        <v>191</v>
      </c>
      <c r="N4" s="690"/>
      <c r="O4" s="690"/>
      <c r="P4" s="690"/>
      <c r="Q4" s="690"/>
      <c r="R4" s="690"/>
      <c r="S4" s="690"/>
      <c r="T4" s="690"/>
      <c r="U4" s="690"/>
      <c r="V4" s="690"/>
      <c r="W4" s="690"/>
      <c r="X4" s="691"/>
      <c r="Y4" s="709" t="s">
        <v>714</v>
      </c>
    </row>
    <row r="5" spans="1:26" s="158" customFormat="1" ht="50.25" customHeight="1">
      <c r="A5" s="683"/>
      <c r="B5" s="711" t="s">
        <v>494</v>
      </c>
      <c r="C5" s="697"/>
      <c r="D5" s="692"/>
      <c r="E5" s="681" t="s">
        <v>715</v>
      </c>
      <c r="F5" s="681"/>
      <c r="G5" s="681" t="s">
        <v>716</v>
      </c>
      <c r="H5" s="681"/>
      <c r="I5" s="681" t="s">
        <v>717</v>
      </c>
      <c r="J5" s="681"/>
      <c r="K5" s="705" t="s">
        <v>1258</v>
      </c>
      <c r="L5" s="705"/>
      <c r="M5" s="706" t="s">
        <v>1259</v>
      </c>
      <c r="N5" s="705"/>
      <c r="O5" s="705" t="s">
        <v>1260</v>
      </c>
      <c r="P5" s="705"/>
      <c r="Q5" s="681" t="s">
        <v>718</v>
      </c>
      <c r="R5" s="681"/>
      <c r="S5" s="681" t="s">
        <v>719</v>
      </c>
      <c r="T5" s="681"/>
      <c r="U5" s="696" t="s">
        <v>720</v>
      </c>
      <c r="V5" s="692"/>
      <c r="W5" s="696" t="s">
        <v>721</v>
      </c>
      <c r="X5" s="697"/>
      <c r="Y5" s="710"/>
      <c r="Z5" s="181"/>
    </row>
    <row r="6" spans="1:25" s="158" customFormat="1" ht="88.5" customHeight="1">
      <c r="A6" s="163" t="s">
        <v>192</v>
      </c>
      <c r="B6" s="698" t="s">
        <v>193</v>
      </c>
      <c r="C6" s="699"/>
      <c r="D6" s="700"/>
      <c r="E6" s="701" t="s">
        <v>194</v>
      </c>
      <c r="F6" s="702"/>
      <c r="G6" s="701" t="s">
        <v>195</v>
      </c>
      <c r="H6" s="702"/>
      <c r="I6" s="701" t="s">
        <v>196</v>
      </c>
      <c r="J6" s="702"/>
      <c r="K6" s="703" t="s">
        <v>197</v>
      </c>
      <c r="L6" s="704"/>
      <c r="M6" s="707" t="s">
        <v>198</v>
      </c>
      <c r="N6" s="708"/>
      <c r="O6" s="701" t="s">
        <v>199</v>
      </c>
      <c r="P6" s="702"/>
      <c r="Q6" s="701" t="s">
        <v>200</v>
      </c>
      <c r="R6" s="702"/>
      <c r="S6" s="701" t="s">
        <v>201</v>
      </c>
      <c r="T6" s="702"/>
      <c r="U6" s="693" t="s">
        <v>202</v>
      </c>
      <c r="V6" s="693"/>
      <c r="W6" s="693" t="s">
        <v>203</v>
      </c>
      <c r="X6" s="693"/>
      <c r="Y6" s="694" t="s">
        <v>204</v>
      </c>
    </row>
    <row r="7" spans="1:25" s="158" customFormat="1" ht="16.5" customHeight="1">
      <c r="A7" s="302"/>
      <c r="B7" s="164" t="s">
        <v>489</v>
      </c>
      <c r="C7" s="156" t="s">
        <v>495</v>
      </c>
      <c r="D7" s="156" t="s">
        <v>496</v>
      </c>
      <c r="E7" s="156" t="s">
        <v>722</v>
      </c>
      <c r="F7" s="156" t="s">
        <v>723</v>
      </c>
      <c r="G7" s="156" t="s">
        <v>722</v>
      </c>
      <c r="H7" s="156" t="s">
        <v>723</v>
      </c>
      <c r="I7" s="156" t="s">
        <v>722</v>
      </c>
      <c r="J7" s="156" t="s">
        <v>723</v>
      </c>
      <c r="K7" s="156" t="s">
        <v>722</v>
      </c>
      <c r="L7" s="156" t="s">
        <v>723</v>
      </c>
      <c r="M7" s="165" t="s">
        <v>722</v>
      </c>
      <c r="N7" s="156" t="s">
        <v>723</v>
      </c>
      <c r="O7" s="156" t="s">
        <v>722</v>
      </c>
      <c r="P7" s="156" t="s">
        <v>723</v>
      </c>
      <c r="Q7" s="156" t="s">
        <v>722</v>
      </c>
      <c r="R7" s="156" t="s">
        <v>723</v>
      </c>
      <c r="S7" s="156" t="s">
        <v>722</v>
      </c>
      <c r="T7" s="156" t="s">
        <v>723</v>
      </c>
      <c r="U7" s="156" t="s">
        <v>722</v>
      </c>
      <c r="V7" s="156" t="s">
        <v>723</v>
      </c>
      <c r="W7" s="156" t="s">
        <v>722</v>
      </c>
      <c r="X7" s="156" t="s">
        <v>723</v>
      </c>
      <c r="Y7" s="694"/>
    </row>
    <row r="8" spans="1:26" s="173" customFormat="1" ht="16.5" customHeight="1" thickBot="1">
      <c r="A8" s="303"/>
      <c r="B8" s="242" t="s">
        <v>447</v>
      </c>
      <c r="C8" s="243" t="s">
        <v>205</v>
      </c>
      <c r="D8" s="243" t="s">
        <v>206</v>
      </c>
      <c r="E8" s="243" t="s">
        <v>171</v>
      </c>
      <c r="F8" s="243" t="s">
        <v>172</v>
      </c>
      <c r="G8" s="243" t="s">
        <v>171</v>
      </c>
      <c r="H8" s="243" t="s">
        <v>172</v>
      </c>
      <c r="I8" s="243" t="s">
        <v>171</v>
      </c>
      <c r="J8" s="243" t="s">
        <v>172</v>
      </c>
      <c r="K8" s="243" t="s">
        <v>171</v>
      </c>
      <c r="L8" s="243" t="s">
        <v>172</v>
      </c>
      <c r="M8" s="245" t="s">
        <v>171</v>
      </c>
      <c r="N8" s="243" t="s">
        <v>172</v>
      </c>
      <c r="O8" s="243" t="s">
        <v>171</v>
      </c>
      <c r="P8" s="243" t="s">
        <v>172</v>
      </c>
      <c r="Q8" s="243" t="s">
        <v>171</v>
      </c>
      <c r="R8" s="243" t="s">
        <v>172</v>
      </c>
      <c r="S8" s="243" t="s">
        <v>171</v>
      </c>
      <c r="T8" s="243" t="s">
        <v>172</v>
      </c>
      <c r="U8" s="243" t="s">
        <v>171</v>
      </c>
      <c r="V8" s="243" t="s">
        <v>172</v>
      </c>
      <c r="W8" s="243" t="s">
        <v>171</v>
      </c>
      <c r="X8" s="243" t="s">
        <v>172</v>
      </c>
      <c r="Y8" s="695"/>
      <c r="Z8" s="180"/>
    </row>
    <row r="9" spans="1:31" ht="22.5" customHeight="1">
      <c r="A9" s="186" t="s">
        <v>724</v>
      </c>
      <c r="B9" s="397" t="s">
        <v>207</v>
      </c>
      <c r="C9" s="397" t="s">
        <v>207</v>
      </c>
      <c r="D9" s="397" t="s">
        <v>207</v>
      </c>
      <c r="E9" s="397" t="s">
        <v>207</v>
      </c>
      <c r="F9" s="397" t="s">
        <v>207</v>
      </c>
      <c r="G9" s="397" t="s">
        <v>207</v>
      </c>
      <c r="H9" s="397" t="s">
        <v>207</v>
      </c>
      <c r="I9" s="397" t="s">
        <v>207</v>
      </c>
      <c r="J9" s="397" t="s">
        <v>207</v>
      </c>
      <c r="K9" s="397" t="s">
        <v>207</v>
      </c>
      <c r="L9" s="397" t="s">
        <v>207</v>
      </c>
      <c r="M9" s="397" t="s">
        <v>207</v>
      </c>
      <c r="N9" s="397" t="s">
        <v>207</v>
      </c>
      <c r="O9" s="397" t="s">
        <v>207</v>
      </c>
      <c r="P9" s="397" t="s">
        <v>207</v>
      </c>
      <c r="Q9" s="397" t="s">
        <v>207</v>
      </c>
      <c r="R9" s="397" t="s">
        <v>207</v>
      </c>
      <c r="S9" s="397" t="s">
        <v>207</v>
      </c>
      <c r="T9" s="397" t="s">
        <v>207</v>
      </c>
      <c r="U9" s="397" t="s">
        <v>207</v>
      </c>
      <c r="V9" s="397" t="s">
        <v>207</v>
      </c>
      <c r="W9" s="397" t="s">
        <v>207</v>
      </c>
      <c r="X9" s="397" t="s">
        <v>207</v>
      </c>
      <c r="Y9" s="47">
        <f>('11-6'!B9)/AA9*100</f>
        <v>3.6206415933947556</v>
      </c>
      <c r="AA9" s="11">
        <v>1958686</v>
      </c>
      <c r="AC9" s="11">
        <v>70917</v>
      </c>
      <c r="AD9" s="402">
        <f>AC9/AA9*100</f>
        <v>3.6206415933947556</v>
      </c>
      <c r="AE9" s="11">
        <f>IF(Y9=AD9,1)</f>
        <v>1</v>
      </c>
    </row>
    <row r="10" spans="1:31" ht="22.5" customHeight="1">
      <c r="A10" s="186" t="s">
        <v>541</v>
      </c>
      <c r="B10" s="397" t="s">
        <v>207</v>
      </c>
      <c r="C10" s="397" t="s">
        <v>207</v>
      </c>
      <c r="D10" s="397" t="s">
        <v>207</v>
      </c>
      <c r="E10" s="397" t="s">
        <v>207</v>
      </c>
      <c r="F10" s="397" t="s">
        <v>207</v>
      </c>
      <c r="G10" s="397" t="s">
        <v>207</v>
      </c>
      <c r="H10" s="397" t="s">
        <v>207</v>
      </c>
      <c r="I10" s="397" t="s">
        <v>207</v>
      </c>
      <c r="J10" s="397" t="s">
        <v>207</v>
      </c>
      <c r="K10" s="397" t="s">
        <v>207</v>
      </c>
      <c r="L10" s="397" t="s">
        <v>207</v>
      </c>
      <c r="M10" s="397" t="s">
        <v>207</v>
      </c>
      <c r="N10" s="397" t="s">
        <v>207</v>
      </c>
      <c r="O10" s="397" t="s">
        <v>207</v>
      </c>
      <c r="P10" s="397" t="s">
        <v>207</v>
      </c>
      <c r="Q10" s="397" t="s">
        <v>207</v>
      </c>
      <c r="R10" s="397" t="s">
        <v>207</v>
      </c>
      <c r="S10" s="397" t="s">
        <v>207</v>
      </c>
      <c r="T10" s="397" t="s">
        <v>207</v>
      </c>
      <c r="U10" s="397" t="s">
        <v>207</v>
      </c>
      <c r="V10" s="397" t="s">
        <v>207</v>
      </c>
      <c r="W10" s="397" t="s">
        <v>207</v>
      </c>
      <c r="X10" s="397" t="s">
        <v>207</v>
      </c>
      <c r="Y10" s="47">
        <f>('11-6'!B10)/AA10*100</f>
        <v>3.556430167648584</v>
      </c>
      <c r="AA10" s="11">
        <v>1978782</v>
      </c>
      <c r="AC10" s="11">
        <v>70374</v>
      </c>
      <c r="AD10" s="402">
        <f aca="true" t="shared" si="0" ref="AD10:AD31">AC10/AA10*100</f>
        <v>3.556430167648584</v>
      </c>
      <c r="AE10" s="11">
        <f aca="true" t="shared" si="1" ref="AE10:AE31">IF(Y10=AD10,1)</f>
        <v>1</v>
      </c>
    </row>
    <row r="11" spans="1:31" ht="22.5" customHeight="1">
      <c r="A11" s="186" t="s">
        <v>725</v>
      </c>
      <c r="B11" s="397" t="s">
        <v>207</v>
      </c>
      <c r="C11" s="397" t="s">
        <v>207</v>
      </c>
      <c r="D11" s="397" t="s">
        <v>207</v>
      </c>
      <c r="E11" s="397" t="s">
        <v>207</v>
      </c>
      <c r="F11" s="397" t="s">
        <v>207</v>
      </c>
      <c r="G11" s="397" t="s">
        <v>207</v>
      </c>
      <c r="H11" s="397" t="s">
        <v>207</v>
      </c>
      <c r="I11" s="397" t="s">
        <v>207</v>
      </c>
      <c r="J11" s="397" t="s">
        <v>207</v>
      </c>
      <c r="K11" s="397" t="s">
        <v>207</v>
      </c>
      <c r="L11" s="397" t="s">
        <v>207</v>
      </c>
      <c r="M11" s="397" t="s">
        <v>207</v>
      </c>
      <c r="N11" s="397" t="s">
        <v>207</v>
      </c>
      <c r="O11" s="397" t="s">
        <v>207</v>
      </c>
      <c r="P11" s="397" t="s">
        <v>207</v>
      </c>
      <c r="Q11" s="397" t="s">
        <v>207</v>
      </c>
      <c r="R11" s="397" t="s">
        <v>207</v>
      </c>
      <c r="S11" s="397" t="s">
        <v>207</v>
      </c>
      <c r="T11" s="397" t="s">
        <v>207</v>
      </c>
      <c r="U11" s="397" t="s">
        <v>207</v>
      </c>
      <c r="V11" s="397" t="s">
        <v>207</v>
      </c>
      <c r="W11" s="397" t="s">
        <v>207</v>
      </c>
      <c r="X11" s="397" t="s">
        <v>207</v>
      </c>
      <c r="Y11" s="47">
        <f>('11-6'!B11)/AA11*100</f>
        <v>3.64979071556297</v>
      </c>
      <c r="AA11" s="11">
        <v>2002060</v>
      </c>
      <c r="AC11" s="11">
        <v>73071</v>
      </c>
      <c r="AD11" s="402">
        <f t="shared" si="0"/>
        <v>3.64979071556297</v>
      </c>
      <c r="AE11" s="11">
        <f t="shared" si="1"/>
        <v>1</v>
      </c>
    </row>
    <row r="12" spans="1:31" ht="22.5" customHeight="1">
      <c r="A12" s="186" t="s">
        <v>726</v>
      </c>
      <c r="B12" s="397" t="s">
        <v>207</v>
      </c>
      <c r="C12" s="397" t="s">
        <v>207</v>
      </c>
      <c r="D12" s="397" t="s">
        <v>207</v>
      </c>
      <c r="E12" s="397" t="s">
        <v>207</v>
      </c>
      <c r="F12" s="397" t="s">
        <v>207</v>
      </c>
      <c r="G12" s="397" t="s">
        <v>207</v>
      </c>
      <c r="H12" s="397" t="s">
        <v>207</v>
      </c>
      <c r="I12" s="397" t="s">
        <v>207</v>
      </c>
      <c r="J12" s="397" t="s">
        <v>207</v>
      </c>
      <c r="K12" s="397" t="s">
        <v>207</v>
      </c>
      <c r="L12" s="397" t="s">
        <v>207</v>
      </c>
      <c r="M12" s="397" t="s">
        <v>207</v>
      </c>
      <c r="N12" s="397" t="s">
        <v>207</v>
      </c>
      <c r="O12" s="397" t="s">
        <v>207</v>
      </c>
      <c r="P12" s="397" t="s">
        <v>207</v>
      </c>
      <c r="Q12" s="397" t="s">
        <v>207</v>
      </c>
      <c r="R12" s="397" t="s">
        <v>207</v>
      </c>
      <c r="S12" s="397" t="s">
        <v>207</v>
      </c>
      <c r="T12" s="397" t="s">
        <v>207</v>
      </c>
      <c r="U12" s="397" t="s">
        <v>207</v>
      </c>
      <c r="V12" s="397" t="s">
        <v>207</v>
      </c>
      <c r="W12" s="397" t="s">
        <v>207</v>
      </c>
      <c r="X12" s="397" t="s">
        <v>207</v>
      </c>
      <c r="Y12" s="47">
        <f>('11-6'!B12)/AA12*100</f>
        <v>3.7783644306252655</v>
      </c>
      <c r="AA12" s="11">
        <v>2013305</v>
      </c>
      <c r="AC12" s="11">
        <v>76070</v>
      </c>
      <c r="AD12" s="402">
        <f t="shared" si="0"/>
        <v>3.7783644306252655</v>
      </c>
      <c r="AE12" s="11">
        <f t="shared" si="1"/>
        <v>1</v>
      </c>
    </row>
    <row r="13" spans="1:31" ht="22.5" customHeight="1">
      <c r="A13" s="186" t="s">
        <v>727</v>
      </c>
      <c r="B13" s="398" t="s">
        <v>208</v>
      </c>
      <c r="C13" s="398" t="s">
        <v>208</v>
      </c>
      <c r="D13" s="398" t="s">
        <v>208</v>
      </c>
      <c r="E13" s="143" t="s">
        <v>208</v>
      </c>
      <c r="F13" s="143" t="s">
        <v>208</v>
      </c>
      <c r="G13" s="143" t="s">
        <v>208</v>
      </c>
      <c r="H13" s="143" t="s">
        <v>208</v>
      </c>
      <c r="I13" s="143" t="s">
        <v>208</v>
      </c>
      <c r="J13" s="143" t="s">
        <v>208</v>
      </c>
      <c r="K13" s="143" t="s">
        <v>208</v>
      </c>
      <c r="L13" s="143" t="s">
        <v>208</v>
      </c>
      <c r="M13" s="143" t="s">
        <v>208</v>
      </c>
      <c r="N13" s="143" t="s">
        <v>208</v>
      </c>
      <c r="O13" s="143" t="s">
        <v>208</v>
      </c>
      <c r="P13" s="143" t="s">
        <v>208</v>
      </c>
      <c r="Q13" s="143" t="s">
        <v>208</v>
      </c>
      <c r="R13" s="143" t="s">
        <v>208</v>
      </c>
      <c r="S13" s="143" t="s">
        <v>208</v>
      </c>
      <c r="T13" s="143" t="s">
        <v>208</v>
      </c>
      <c r="U13" s="143" t="s">
        <v>208</v>
      </c>
      <c r="V13" s="143" t="s">
        <v>208</v>
      </c>
      <c r="W13" s="143" t="s">
        <v>208</v>
      </c>
      <c r="X13" s="143" t="s">
        <v>208</v>
      </c>
      <c r="Y13" s="47">
        <f>('11-6'!B13)/AA13*100</f>
        <v>3.6651772938205394</v>
      </c>
      <c r="AA13" s="11">
        <v>2030161</v>
      </c>
      <c r="AC13" s="11">
        <v>74409</v>
      </c>
      <c r="AD13" s="402">
        <f t="shared" si="0"/>
        <v>3.6651772938205394</v>
      </c>
      <c r="AE13" s="11">
        <f t="shared" si="1"/>
        <v>1</v>
      </c>
    </row>
    <row r="14" spans="1:31" ht="22.5" customHeight="1">
      <c r="A14" s="186" t="s">
        <v>728</v>
      </c>
      <c r="B14" s="397">
        <v>19400</v>
      </c>
      <c r="C14" s="397">
        <v>11117</v>
      </c>
      <c r="D14" s="397">
        <v>8283</v>
      </c>
      <c r="E14" s="143">
        <v>4468</v>
      </c>
      <c r="F14" s="143">
        <v>3830</v>
      </c>
      <c r="G14" s="143">
        <v>1472</v>
      </c>
      <c r="H14" s="143">
        <v>1047</v>
      </c>
      <c r="I14" s="143">
        <v>130</v>
      </c>
      <c r="J14" s="143">
        <v>29</v>
      </c>
      <c r="K14" s="143">
        <v>773</v>
      </c>
      <c r="L14" s="143">
        <v>290</v>
      </c>
      <c r="M14" s="143">
        <v>164</v>
      </c>
      <c r="N14" s="143">
        <v>71</v>
      </c>
      <c r="O14" s="143">
        <v>480</v>
      </c>
      <c r="P14" s="143">
        <v>437</v>
      </c>
      <c r="Q14" s="143">
        <v>2165</v>
      </c>
      <c r="R14" s="143">
        <v>1545</v>
      </c>
      <c r="S14" s="143">
        <v>24</v>
      </c>
      <c r="T14" s="143">
        <v>12</v>
      </c>
      <c r="U14" s="143">
        <v>1435</v>
      </c>
      <c r="V14" s="143">
        <v>1011</v>
      </c>
      <c r="W14" s="143">
        <v>6</v>
      </c>
      <c r="X14" s="143">
        <v>11</v>
      </c>
      <c r="Y14" s="47">
        <f>('11-6'!B14)/AA14*100</f>
        <v>3.7267193177376186</v>
      </c>
      <c r="Z14" s="14"/>
      <c r="AA14" s="114">
        <v>2044023</v>
      </c>
      <c r="AC14" s="11">
        <v>76175</v>
      </c>
      <c r="AD14" s="402">
        <f t="shared" si="0"/>
        <v>3.7267193177376186</v>
      </c>
      <c r="AE14" s="11">
        <f t="shared" si="1"/>
        <v>1</v>
      </c>
    </row>
    <row r="15" spans="1:31" ht="22.5" customHeight="1">
      <c r="A15" s="186" t="s">
        <v>729</v>
      </c>
      <c r="B15" s="397">
        <v>26110</v>
      </c>
      <c r="C15" s="397">
        <v>14946</v>
      </c>
      <c r="D15" s="397">
        <v>11164</v>
      </c>
      <c r="E15" s="143">
        <v>5644</v>
      </c>
      <c r="F15" s="143">
        <v>4889</v>
      </c>
      <c r="G15" s="143">
        <v>2178</v>
      </c>
      <c r="H15" s="143">
        <v>1580</v>
      </c>
      <c r="I15" s="143">
        <v>172</v>
      </c>
      <c r="J15" s="143">
        <v>43</v>
      </c>
      <c r="K15" s="143">
        <v>1134</v>
      </c>
      <c r="L15" s="143">
        <v>422</v>
      </c>
      <c r="M15" s="143">
        <v>188</v>
      </c>
      <c r="N15" s="143">
        <v>89</v>
      </c>
      <c r="O15" s="143">
        <v>738</v>
      </c>
      <c r="P15" s="143">
        <v>639</v>
      </c>
      <c r="Q15" s="143">
        <v>2923</v>
      </c>
      <c r="R15" s="143">
        <v>2093</v>
      </c>
      <c r="S15" s="143">
        <v>30</v>
      </c>
      <c r="T15" s="143">
        <v>22</v>
      </c>
      <c r="U15" s="143">
        <v>1933</v>
      </c>
      <c r="V15" s="143">
        <v>1377</v>
      </c>
      <c r="W15" s="143">
        <v>6</v>
      </c>
      <c r="X15" s="143">
        <v>10</v>
      </c>
      <c r="Y15" s="47">
        <f>('11-6'!B15)/AA15*100</f>
        <v>3.88383192571835</v>
      </c>
      <c r="Z15" s="14"/>
      <c r="AA15" s="114">
        <v>2058328</v>
      </c>
      <c r="AC15" s="11">
        <v>79942</v>
      </c>
      <c r="AD15" s="402">
        <f t="shared" si="0"/>
        <v>3.88383192571835</v>
      </c>
      <c r="AE15" s="11">
        <f t="shared" si="1"/>
        <v>1</v>
      </c>
    </row>
    <row r="16" spans="1:31" ht="22.5" customHeight="1">
      <c r="A16" s="186" t="s">
        <v>730</v>
      </c>
      <c r="B16" s="399">
        <v>32546</v>
      </c>
      <c r="C16" s="399">
        <v>18717</v>
      </c>
      <c r="D16" s="399">
        <v>13829</v>
      </c>
      <c r="E16" s="399">
        <v>6669</v>
      </c>
      <c r="F16" s="399">
        <v>5676</v>
      </c>
      <c r="G16" s="399">
        <v>2918</v>
      </c>
      <c r="H16" s="399">
        <v>2127</v>
      </c>
      <c r="I16" s="399">
        <v>227</v>
      </c>
      <c r="J16" s="399">
        <v>65</v>
      </c>
      <c r="K16" s="399">
        <v>1479</v>
      </c>
      <c r="L16" s="399">
        <v>608</v>
      </c>
      <c r="M16" s="399">
        <v>227</v>
      </c>
      <c r="N16" s="399">
        <v>97</v>
      </c>
      <c r="O16" s="399">
        <v>1046</v>
      </c>
      <c r="P16" s="399">
        <v>890</v>
      </c>
      <c r="Q16" s="399">
        <v>3560</v>
      </c>
      <c r="R16" s="399">
        <v>2554</v>
      </c>
      <c r="S16" s="399">
        <v>62</v>
      </c>
      <c r="T16" s="399">
        <v>39</v>
      </c>
      <c r="U16" s="399">
        <v>2494</v>
      </c>
      <c r="V16" s="399">
        <v>1739</v>
      </c>
      <c r="W16" s="399">
        <v>35</v>
      </c>
      <c r="X16" s="399">
        <v>34</v>
      </c>
      <c r="Y16" s="47">
        <f>('11-6'!B16)/AA16*100</f>
        <v>3.7545232645385553</v>
      </c>
      <c r="AA16" s="114">
        <v>2105780</v>
      </c>
      <c r="AC16" s="11">
        <v>79062</v>
      </c>
      <c r="AD16" s="402">
        <f t="shared" si="0"/>
        <v>3.7545232645385553</v>
      </c>
      <c r="AE16" s="11">
        <f t="shared" si="1"/>
        <v>1</v>
      </c>
    </row>
    <row r="17" spans="1:31" ht="22.5" customHeight="1">
      <c r="A17" s="186" t="s">
        <v>1171</v>
      </c>
      <c r="B17" s="399">
        <v>45947</v>
      </c>
      <c r="C17" s="399">
        <v>26486</v>
      </c>
      <c r="D17" s="399">
        <v>19461</v>
      </c>
      <c r="E17" s="399">
        <v>9998</v>
      </c>
      <c r="F17" s="399">
        <v>8282</v>
      </c>
      <c r="G17" s="399">
        <v>4097</v>
      </c>
      <c r="H17" s="399">
        <v>3040</v>
      </c>
      <c r="I17" s="399">
        <v>338</v>
      </c>
      <c r="J17" s="399">
        <v>136</v>
      </c>
      <c r="K17" s="399">
        <v>1912</v>
      </c>
      <c r="L17" s="399">
        <v>797</v>
      </c>
      <c r="M17" s="399">
        <v>285</v>
      </c>
      <c r="N17" s="399">
        <v>115</v>
      </c>
      <c r="O17" s="399">
        <v>1542</v>
      </c>
      <c r="P17" s="399">
        <v>1307</v>
      </c>
      <c r="Q17" s="399">
        <v>4918</v>
      </c>
      <c r="R17" s="399">
        <v>3350</v>
      </c>
      <c r="S17" s="399">
        <v>117</v>
      </c>
      <c r="T17" s="399">
        <v>86</v>
      </c>
      <c r="U17" s="399">
        <v>3171</v>
      </c>
      <c r="V17" s="399">
        <v>2270</v>
      </c>
      <c r="W17" s="399">
        <v>108</v>
      </c>
      <c r="X17" s="399">
        <v>78</v>
      </c>
      <c r="Y17" s="47">
        <f>('11-6'!B17)/AA17*100</f>
        <v>3.7517174846572923</v>
      </c>
      <c r="Z17" s="44"/>
      <c r="AA17" s="44">
        <v>2147763</v>
      </c>
      <c r="AB17" s="141"/>
      <c r="AC17" s="11">
        <v>80578</v>
      </c>
      <c r="AD17" s="402">
        <f t="shared" si="0"/>
        <v>3.7517174846572923</v>
      </c>
      <c r="AE17" s="11">
        <f t="shared" si="1"/>
        <v>1</v>
      </c>
    </row>
    <row r="18" spans="1:31" ht="22.5" customHeight="1">
      <c r="A18" s="186" t="s">
        <v>1195</v>
      </c>
      <c r="B18" s="397">
        <f>SUM(B19:B31)</f>
        <v>71720</v>
      </c>
      <c r="C18" s="397">
        <f aca="true" t="shared" si="2" ref="C18:X18">SUM(C19:C31)</f>
        <v>41183</v>
      </c>
      <c r="D18" s="397">
        <f t="shared" si="2"/>
        <v>30537</v>
      </c>
      <c r="E18" s="397">
        <f t="shared" si="2"/>
        <v>11702</v>
      </c>
      <c r="F18" s="397">
        <f t="shared" si="2"/>
        <v>10155</v>
      </c>
      <c r="G18" s="397">
        <f t="shared" si="2"/>
        <v>6110</v>
      </c>
      <c r="H18" s="397">
        <f t="shared" si="2"/>
        <v>4896</v>
      </c>
      <c r="I18" s="397">
        <f t="shared" si="2"/>
        <v>534</v>
      </c>
      <c r="J18" s="397">
        <f t="shared" si="2"/>
        <v>228</v>
      </c>
      <c r="K18" s="397">
        <f t="shared" si="2"/>
        <v>2535</v>
      </c>
      <c r="L18" s="397">
        <f t="shared" si="2"/>
        <v>1304</v>
      </c>
      <c r="M18" s="397">
        <f t="shared" si="2"/>
        <v>510</v>
      </c>
      <c r="N18" s="397">
        <f t="shared" si="2"/>
        <v>235</v>
      </c>
      <c r="O18" s="397">
        <f t="shared" si="2"/>
        <v>2677</v>
      </c>
      <c r="P18" s="397">
        <f t="shared" si="2"/>
        <v>2588</v>
      </c>
      <c r="Q18" s="399">
        <f>SUM(Q19:Q31)</f>
        <v>12264</v>
      </c>
      <c r="R18" s="399">
        <f t="shared" si="2"/>
        <v>7696</v>
      </c>
      <c r="S18" s="399">
        <f t="shared" si="2"/>
        <v>187</v>
      </c>
      <c r="T18" s="397">
        <f t="shared" si="2"/>
        <v>119</v>
      </c>
      <c r="U18" s="397">
        <f t="shared" si="2"/>
        <v>4537</v>
      </c>
      <c r="V18" s="397">
        <f t="shared" si="2"/>
        <v>3210</v>
      </c>
      <c r="W18" s="397">
        <f t="shared" si="2"/>
        <v>127</v>
      </c>
      <c r="X18" s="397">
        <f t="shared" si="2"/>
        <v>106</v>
      </c>
      <c r="Y18" s="47">
        <f>('11-6'!B18)/AA18*100</f>
        <v>3.749925160544913</v>
      </c>
      <c r="AA18" s="11">
        <v>2188017</v>
      </c>
      <c r="AC18" s="11">
        <v>82049</v>
      </c>
      <c r="AD18" s="402">
        <f t="shared" si="0"/>
        <v>3.749925160544913</v>
      </c>
      <c r="AE18" s="11">
        <f t="shared" si="1"/>
        <v>1</v>
      </c>
    </row>
    <row r="19" spans="1:31" ht="22.5" customHeight="1">
      <c r="A19" s="304" t="s">
        <v>731</v>
      </c>
      <c r="B19" s="400">
        <f>C19+D19</f>
        <v>12732</v>
      </c>
      <c r="C19" s="400">
        <f>E19+G19+I19+K19+M19+O19+Q19+S19+U19+W19</f>
        <v>7315</v>
      </c>
      <c r="D19" s="400">
        <f>F19+H19+J19+L19+N19+P19+R19+T19+V19+X19</f>
        <v>5417</v>
      </c>
      <c r="E19" s="126">
        <v>2128</v>
      </c>
      <c r="F19" s="126">
        <v>1739</v>
      </c>
      <c r="G19" s="126">
        <v>1106</v>
      </c>
      <c r="H19" s="126">
        <v>885</v>
      </c>
      <c r="I19" s="126">
        <v>79</v>
      </c>
      <c r="J19" s="126">
        <v>35</v>
      </c>
      <c r="K19" s="126">
        <v>514</v>
      </c>
      <c r="L19" s="126">
        <v>256</v>
      </c>
      <c r="M19" s="126">
        <v>84</v>
      </c>
      <c r="N19" s="126">
        <v>42</v>
      </c>
      <c r="O19" s="126">
        <v>554</v>
      </c>
      <c r="P19" s="126">
        <v>470</v>
      </c>
      <c r="Q19" s="126">
        <v>2021</v>
      </c>
      <c r="R19" s="126">
        <v>1322</v>
      </c>
      <c r="S19" s="126">
        <v>21</v>
      </c>
      <c r="T19" s="126">
        <v>17</v>
      </c>
      <c r="U19" s="126">
        <v>788</v>
      </c>
      <c r="V19" s="126">
        <v>621</v>
      </c>
      <c r="W19" s="126">
        <v>20</v>
      </c>
      <c r="X19" s="126">
        <v>30</v>
      </c>
      <c r="Y19" s="47">
        <f>('11-6'!B19)/AA19*100</f>
        <v>3.2912167679883857</v>
      </c>
      <c r="Z19" s="14"/>
      <c r="AA19" s="114">
        <v>440840</v>
      </c>
      <c r="AB19" s="11">
        <v>440840</v>
      </c>
      <c r="AC19" s="11">
        <v>14509</v>
      </c>
      <c r="AD19" s="402">
        <f t="shared" si="0"/>
        <v>3.2912167679883857</v>
      </c>
      <c r="AE19" s="11">
        <f>IF(Y19=AD19,1)</f>
        <v>1</v>
      </c>
    </row>
    <row r="20" spans="1:31" ht="22.5" customHeight="1">
      <c r="A20" s="304" t="s">
        <v>732</v>
      </c>
      <c r="B20" s="400">
        <f aca="true" t="shared" si="3" ref="B20:B31">C20+D20</f>
        <v>12967</v>
      </c>
      <c r="C20" s="400">
        <f>E20+G20+I20+K20+M20+O20+Q20+S20+U20+W20</f>
        <v>7300</v>
      </c>
      <c r="D20" s="400">
        <f aca="true" t="shared" si="4" ref="D20:D31">F20+H20+J20+L20+N20+P20+R20+T20+V20+X20</f>
        <v>5667</v>
      </c>
      <c r="E20" s="126">
        <v>2176</v>
      </c>
      <c r="F20" s="126">
        <v>1904</v>
      </c>
      <c r="G20" s="126">
        <v>1015</v>
      </c>
      <c r="H20" s="126">
        <v>937</v>
      </c>
      <c r="I20" s="126">
        <v>97</v>
      </c>
      <c r="J20" s="126">
        <v>39</v>
      </c>
      <c r="K20" s="126">
        <v>460</v>
      </c>
      <c r="L20" s="126">
        <v>224</v>
      </c>
      <c r="M20" s="126">
        <v>101</v>
      </c>
      <c r="N20" s="126">
        <v>47</v>
      </c>
      <c r="O20" s="126">
        <v>447</v>
      </c>
      <c r="P20" s="126">
        <v>496</v>
      </c>
      <c r="Q20" s="126">
        <v>2166</v>
      </c>
      <c r="R20" s="126">
        <v>1421</v>
      </c>
      <c r="S20" s="126">
        <v>30</v>
      </c>
      <c r="T20" s="126">
        <v>23</v>
      </c>
      <c r="U20" s="126">
        <v>791</v>
      </c>
      <c r="V20" s="126">
        <v>562</v>
      </c>
      <c r="W20" s="126">
        <v>17</v>
      </c>
      <c r="X20" s="126">
        <v>14</v>
      </c>
      <c r="Y20" s="47">
        <f>('11-6'!B20)/AA20*100</f>
        <v>3.6634782437021243</v>
      </c>
      <c r="Z20" s="14"/>
      <c r="AA20" s="114">
        <v>405216</v>
      </c>
      <c r="AB20" s="11">
        <v>405216</v>
      </c>
      <c r="AC20" s="11">
        <v>14845</v>
      </c>
      <c r="AD20" s="402">
        <f t="shared" si="0"/>
        <v>3.6634782437021243</v>
      </c>
      <c r="AE20" s="11">
        <f t="shared" si="1"/>
        <v>1</v>
      </c>
    </row>
    <row r="21" spans="1:31" ht="22.5" customHeight="1">
      <c r="A21" s="304" t="s">
        <v>733</v>
      </c>
      <c r="B21" s="400">
        <f t="shared" si="3"/>
        <v>3909</v>
      </c>
      <c r="C21" s="400">
        <f aca="true" t="shared" si="5" ref="C21:C31">E21+G21+I21+K21+M21+O21+Q21+S21+U21+W21</f>
        <v>2219</v>
      </c>
      <c r="D21" s="400">
        <f t="shared" si="4"/>
        <v>1690</v>
      </c>
      <c r="E21" s="126">
        <v>630</v>
      </c>
      <c r="F21" s="126">
        <v>568</v>
      </c>
      <c r="G21" s="126">
        <v>324</v>
      </c>
      <c r="H21" s="126">
        <v>234</v>
      </c>
      <c r="I21" s="126">
        <v>27</v>
      </c>
      <c r="J21" s="126">
        <v>19</v>
      </c>
      <c r="K21" s="126">
        <v>123</v>
      </c>
      <c r="L21" s="126">
        <v>80</v>
      </c>
      <c r="M21" s="126">
        <v>34</v>
      </c>
      <c r="N21" s="126">
        <v>10</v>
      </c>
      <c r="O21" s="126">
        <v>120</v>
      </c>
      <c r="P21" s="126">
        <v>103</v>
      </c>
      <c r="Q21" s="393">
        <v>696</v>
      </c>
      <c r="R21" s="393">
        <v>449</v>
      </c>
      <c r="S21" s="126">
        <v>6</v>
      </c>
      <c r="T21" s="126">
        <v>6</v>
      </c>
      <c r="U21" s="126">
        <v>250</v>
      </c>
      <c r="V21" s="126">
        <v>218</v>
      </c>
      <c r="W21" s="126">
        <v>9</v>
      </c>
      <c r="X21" s="126">
        <v>3</v>
      </c>
      <c r="Y21" s="47">
        <f>('11-6'!B21)/AA21*100</f>
        <v>4.702967676361288</v>
      </c>
      <c r="Z21" s="14"/>
      <c r="AA21" s="114">
        <v>94451</v>
      </c>
      <c r="AB21" s="11">
        <v>94451</v>
      </c>
      <c r="AC21" s="11">
        <v>4442</v>
      </c>
      <c r="AD21" s="402">
        <f t="shared" si="0"/>
        <v>4.702967676361288</v>
      </c>
      <c r="AE21" s="11">
        <f t="shared" si="1"/>
        <v>1</v>
      </c>
    </row>
    <row r="22" spans="1:31" ht="22.5" customHeight="1">
      <c r="A22" s="304" t="s">
        <v>734</v>
      </c>
      <c r="B22" s="400">
        <f t="shared" si="3"/>
        <v>5685</v>
      </c>
      <c r="C22" s="400">
        <f t="shared" si="5"/>
        <v>3308</v>
      </c>
      <c r="D22" s="400">
        <f t="shared" si="4"/>
        <v>2377</v>
      </c>
      <c r="E22" s="126">
        <v>939</v>
      </c>
      <c r="F22" s="126">
        <v>774</v>
      </c>
      <c r="G22" s="126">
        <v>449</v>
      </c>
      <c r="H22" s="126">
        <v>382</v>
      </c>
      <c r="I22" s="126">
        <v>38</v>
      </c>
      <c r="J22" s="126">
        <v>20</v>
      </c>
      <c r="K22" s="126">
        <v>213</v>
      </c>
      <c r="L22" s="126">
        <v>96</v>
      </c>
      <c r="M22" s="126">
        <v>35</v>
      </c>
      <c r="N22" s="126">
        <v>15</v>
      </c>
      <c r="O22" s="126">
        <v>241</v>
      </c>
      <c r="P22" s="126">
        <v>205</v>
      </c>
      <c r="Q22" s="393">
        <v>1064</v>
      </c>
      <c r="R22" s="393">
        <v>654</v>
      </c>
      <c r="S22" s="126">
        <v>10</v>
      </c>
      <c r="T22" s="126">
        <v>15</v>
      </c>
      <c r="U22" s="126">
        <v>309</v>
      </c>
      <c r="V22" s="126">
        <v>205</v>
      </c>
      <c r="W22" s="126">
        <v>10</v>
      </c>
      <c r="X22" s="126">
        <v>11</v>
      </c>
      <c r="Y22" s="47">
        <f>('11-6'!B22)/AA22*100</f>
        <v>3.7658301469228523</v>
      </c>
      <c r="Z22" s="14"/>
      <c r="AA22" s="114">
        <v>167639</v>
      </c>
      <c r="AB22" s="11">
        <v>167639</v>
      </c>
      <c r="AC22" s="11">
        <v>6313</v>
      </c>
      <c r="AD22" s="402">
        <f t="shared" si="0"/>
        <v>3.7658301469228523</v>
      </c>
      <c r="AE22" s="11">
        <f t="shared" si="1"/>
        <v>1</v>
      </c>
    </row>
    <row r="23" spans="1:31" ht="22.5" customHeight="1">
      <c r="A23" s="304" t="s">
        <v>735</v>
      </c>
      <c r="B23" s="400">
        <f t="shared" si="3"/>
        <v>4319</v>
      </c>
      <c r="C23" s="400">
        <f t="shared" si="5"/>
        <v>2525</v>
      </c>
      <c r="D23" s="400">
        <f t="shared" si="4"/>
        <v>1794</v>
      </c>
      <c r="E23" s="126">
        <v>648</v>
      </c>
      <c r="F23" s="126">
        <v>534</v>
      </c>
      <c r="G23" s="126">
        <v>405</v>
      </c>
      <c r="H23" s="126">
        <v>294</v>
      </c>
      <c r="I23" s="126">
        <v>36</v>
      </c>
      <c r="J23" s="126">
        <v>15</v>
      </c>
      <c r="K23" s="126">
        <v>188</v>
      </c>
      <c r="L23" s="126">
        <v>99</v>
      </c>
      <c r="M23" s="126">
        <v>38</v>
      </c>
      <c r="N23" s="126">
        <v>22</v>
      </c>
      <c r="O23" s="126">
        <v>170</v>
      </c>
      <c r="P23" s="126">
        <v>161</v>
      </c>
      <c r="Q23" s="126">
        <v>734</v>
      </c>
      <c r="R23" s="126">
        <v>428</v>
      </c>
      <c r="S23" s="126">
        <v>10</v>
      </c>
      <c r="T23" s="126">
        <v>8</v>
      </c>
      <c r="U23" s="126">
        <v>284</v>
      </c>
      <c r="V23" s="126">
        <v>222</v>
      </c>
      <c r="W23" s="126">
        <v>12</v>
      </c>
      <c r="X23" s="126">
        <v>11</v>
      </c>
      <c r="Y23" s="47">
        <f>('11-6'!B23)/AA23*100</f>
        <v>3.1449182271851375</v>
      </c>
      <c r="Z23" s="14"/>
      <c r="AA23" s="114">
        <v>161912</v>
      </c>
      <c r="AB23" s="11">
        <v>161912</v>
      </c>
      <c r="AC23" s="11">
        <v>5092</v>
      </c>
      <c r="AD23" s="402">
        <f t="shared" si="0"/>
        <v>3.1449182271851375</v>
      </c>
      <c r="AE23" s="11">
        <f t="shared" si="1"/>
        <v>1</v>
      </c>
    </row>
    <row r="24" spans="1:31" ht="22.5" customHeight="1">
      <c r="A24" s="304" t="s">
        <v>736</v>
      </c>
      <c r="B24" s="400">
        <f t="shared" si="3"/>
        <v>3010</v>
      </c>
      <c r="C24" s="400">
        <f t="shared" si="5"/>
        <v>1777</v>
      </c>
      <c r="D24" s="400">
        <f t="shared" si="4"/>
        <v>1233</v>
      </c>
      <c r="E24" s="126">
        <v>477</v>
      </c>
      <c r="F24" s="126">
        <v>407</v>
      </c>
      <c r="G24" s="126">
        <v>242</v>
      </c>
      <c r="H24" s="126">
        <v>181</v>
      </c>
      <c r="I24" s="126">
        <v>35</v>
      </c>
      <c r="J24" s="126">
        <v>7</v>
      </c>
      <c r="K24" s="126">
        <v>116</v>
      </c>
      <c r="L24" s="126">
        <v>43</v>
      </c>
      <c r="M24" s="126">
        <v>17</v>
      </c>
      <c r="N24" s="126">
        <v>9</v>
      </c>
      <c r="O24" s="126">
        <v>114</v>
      </c>
      <c r="P24" s="126">
        <v>115</v>
      </c>
      <c r="Q24" s="126">
        <v>555</v>
      </c>
      <c r="R24" s="126">
        <v>338</v>
      </c>
      <c r="S24" s="126">
        <v>9</v>
      </c>
      <c r="T24" s="126">
        <v>5</v>
      </c>
      <c r="U24" s="126">
        <v>209</v>
      </c>
      <c r="V24" s="126">
        <v>124</v>
      </c>
      <c r="W24" s="126">
        <v>3</v>
      </c>
      <c r="X24" s="126">
        <v>4</v>
      </c>
      <c r="Y24" s="47">
        <f>('11-6'!B24)/AA24*100</f>
        <v>3.9280474009027677</v>
      </c>
      <c r="Z24" s="14"/>
      <c r="AA24" s="114">
        <v>89281</v>
      </c>
      <c r="AB24" s="11">
        <v>89281</v>
      </c>
      <c r="AC24" s="11">
        <v>3507</v>
      </c>
      <c r="AD24" s="402">
        <f t="shared" si="0"/>
        <v>3.9280474009027677</v>
      </c>
      <c r="AE24" s="11">
        <f t="shared" si="1"/>
        <v>1</v>
      </c>
    </row>
    <row r="25" spans="1:31" ht="22.5" customHeight="1">
      <c r="A25" s="304" t="s">
        <v>737</v>
      </c>
      <c r="B25" s="400">
        <f t="shared" si="3"/>
        <v>5336</v>
      </c>
      <c r="C25" s="400">
        <f t="shared" si="5"/>
        <v>3085</v>
      </c>
      <c r="D25" s="400">
        <f t="shared" si="4"/>
        <v>2251</v>
      </c>
      <c r="E25" s="126">
        <v>850</v>
      </c>
      <c r="F25" s="126">
        <v>744</v>
      </c>
      <c r="G25" s="126">
        <v>509</v>
      </c>
      <c r="H25" s="126">
        <v>369</v>
      </c>
      <c r="I25" s="126">
        <v>31</v>
      </c>
      <c r="J25" s="126">
        <v>15</v>
      </c>
      <c r="K25" s="126">
        <v>206</v>
      </c>
      <c r="L25" s="126">
        <v>120</v>
      </c>
      <c r="M25" s="126">
        <v>41</v>
      </c>
      <c r="N25" s="126">
        <v>7</v>
      </c>
      <c r="O25" s="126">
        <v>189</v>
      </c>
      <c r="P25" s="126">
        <v>220</v>
      </c>
      <c r="Q25" s="126">
        <v>867</v>
      </c>
      <c r="R25" s="126">
        <v>525</v>
      </c>
      <c r="S25" s="126">
        <v>18</v>
      </c>
      <c r="T25" s="126">
        <v>4</v>
      </c>
      <c r="U25" s="126">
        <v>365</v>
      </c>
      <c r="V25" s="126">
        <v>243</v>
      </c>
      <c r="W25" s="126">
        <v>9</v>
      </c>
      <c r="X25" s="126">
        <v>4</v>
      </c>
      <c r="Y25" s="47">
        <f>('11-6'!B25)/AA25*100</f>
        <v>3.9179613405822384</v>
      </c>
      <c r="Z25" s="14"/>
      <c r="AA25" s="114">
        <v>157633</v>
      </c>
      <c r="AB25" s="11">
        <v>157633</v>
      </c>
      <c r="AC25" s="11">
        <v>6176</v>
      </c>
      <c r="AD25" s="402">
        <f t="shared" si="0"/>
        <v>3.9179613405822384</v>
      </c>
      <c r="AE25" s="11">
        <f t="shared" si="1"/>
        <v>1</v>
      </c>
    </row>
    <row r="26" spans="1:31" ht="22.5" customHeight="1">
      <c r="A26" s="304" t="s">
        <v>738</v>
      </c>
      <c r="B26" s="400">
        <f t="shared" si="3"/>
        <v>6814</v>
      </c>
      <c r="C26" s="400">
        <f t="shared" si="5"/>
        <v>3889</v>
      </c>
      <c r="D26" s="400">
        <f t="shared" si="4"/>
        <v>2925</v>
      </c>
      <c r="E26" s="126">
        <v>1152</v>
      </c>
      <c r="F26" s="126">
        <v>1024</v>
      </c>
      <c r="G26" s="126">
        <v>588</v>
      </c>
      <c r="H26" s="126">
        <v>468</v>
      </c>
      <c r="I26" s="126">
        <v>48</v>
      </c>
      <c r="J26" s="126">
        <v>28</v>
      </c>
      <c r="K26" s="126">
        <v>227</v>
      </c>
      <c r="L26" s="126">
        <v>132</v>
      </c>
      <c r="M26" s="126">
        <v>42</v>
      </c>
      <c r="N26" s="126">
        <v>28</v>
      </c>
      <c r="O26" s="126">
        <v>234</v>
      </c>
      <c r="P26" s="126">
        <v>241</v>
      </c>
      <c r="Q26" s="126">
        <v>1117</v>
      </c>
      <c r="R26" s="126">
        <v>687</v>
      </c>
      <c r="S26" s="126">
        <v>22</v>
      </c>
      <c r="T26" s="126">
        <v>11</v>
      </c>
      <c r="U26" s="126">
        <v>442</v>
      </c>
      <c r="V26" s="126">
        <v>299</v>
      </c>
      <c r="W26" s="126">
        <v>17</v>
      </c>
      <c r="X26" s="126">
        <v>7</v>
      </c>
      <c r="Y26" s="47">
        <f>('11-6'!B26)/AA26*100</f>
        <v>3.9465048416248476</v>
      </c>
      <c r="Z26" s="14"/>
      <c r="AA26" s="114">
        <v>198074</v>
      </c>
      <c r="AB26" s="11">
        <v>198074</v>
      </c>
      <c r="AC26" s="11">
        <v>7817</v>
      </c>
      <c r="AD26" s="402">
        <f t="shared" si="0"/>
        <v>3.9465048416248476</v>
      </c>
      <c r="AE26" s="11">
        <f t="shared" si="1"/>
        <v>1</v>
      </c>
    </row>
    <row r="27" spans="1:31" ht="22.5" customHeight="1">
      <c r="A27" s="304" t="s">
        <v>739</v>
      </c>
      <c r="B27" s="400">
        <f t="shared" si="3"/>
        <v>4471</v>
      </c>
      <c r="C27" s="400">
        <f t="shared" si="5"/>
        <v>2498</v>
      </c>
      <c r="D27" s="400">
        <f t="shared" si="4"/>
        <v>1973</v>
      </c>
      <c r="E27" s="126">
        <v>747</v>
      </c>
      <c r="F27" s="126">
        <v>719</v>
      </c>
      <c r="G27" s="126">
        <v>359</v>
      </c>
      <c r="H27" s="126">
        <v>278</v>
      </c>
      <c r="I27" s="126">
        <v>24</v>
      </c>
      <c r="J27" s="126">
        <v>9</v>
      </c>
      <c r="K27" s="126">
        <v>116</v>
      </c>
      <c r="L27" s="126">
        <v>80</v>
      </c>
      <c r="M27" s="126">
        <v>32</v>
      </c>
      <c r="N27" s="126">
        <v>16</v>
      </c>
      <c r="O27" s="126">
        <v>140</v>
      </c>
      <c r="P27" s="126">
        <v>139</v>
      </c>
      <c r="Q27" s="126">
        <v>775</v>
      </c>
      <c r="R27" s="126">
        <v>505</v>
      </c>
      <c r="S27" s="126">
        <v>14</v>
      </c>
      <c r="T27" s="126">
        <v>9</v>
      </c>
      <c r="U27" s="126">
        <v>287</v>
      </c>
      <c r="V27" s="126">
        <v>213</v>
      </c>
      <c r="W27" s="126">
        <v>4</v>
      </c>
      <c r="X27" s="126">
        <v>5</v>
      </c>
      <c r="Y27" s="47">
        <f>('11-6'!B27)/AA27*100</f>
        <v>4.11912462445207</v>
      </c>
      <c r="Z27" s="14"/>
      <c r="AA27" s="114">
        <v>121822</v>
      </c>
      <c r="AB27" s="11">
        <v>121822</v>
      </c>
      <c r="AC27" s="11">
        <v>5018</v>
      </c>
      <c r="AD27" s="402">
        <f t="shared" si="0"/>
        <v>4.11912462445207</v>
      </c>
      <c r="AE27" s="11">
        <f t="shared" si="1"/>
        <v>1</v>
      </c>
    </row>
    <row r="28" spans="1:31" ht="22.5" customHeight="1">
      <c r="A28" s="304" t="s">
        <v>740</v>
      </c>
      <c r="B28" s="400">
        <f t="shared" si="3"/>
        <v>7391</v>
      </c>
      <c r="C28" s="400">
        <f t="shared" si="5"/>
        <v>4223</v>
      </c>
      <c r="D28" s="400">
        <f t="shared" si="4"/>
        <v>3168</v>
      </c>
      <c r="E28" s="126">
        <v>1130</v>
      </c>
      <c r="F28" s="126">
        <v>1021</v>
      </c>
      <c r="G28" s="126">
        <v>623</v>
      </c>
      <c r="H28" s="126">
        <v>549</v>
      </c>
      <c r="I28" s="126">
        <v>73</v>
      </c>
      <c r="J28" s="126">
        <v>27</v>
      </c>
      <c r="K28" s="126">
        <v>221</v>
      </c>
      <c r="L28" s="126">
        <v>92</v>
      </c>
      <c r="M28" s="126">
        <v>52</v>
      </c>
      <c r="N28" s="126">
        <v>25</v>
      </c>
      <c r="O28" s="126">
        <v>281</v>
      </c>
      <c r="P28" s="126">
        <v>282</v>
      </c>
      <c r="Q28" s="126">
        <v>1303</v>
      </c>
      <c r="R28" s="126">
        <v>837</v>
      </c>
      <c r="S28" s="126">
        <v>30</v>
      </c>
      <c r="T28" s="126">
        <v>12</v>
      </c>
      <c r="U28" s="126">
        <v>492</v>
      </c>
      <c r="V28" s="126">
        <v>307</v>
      </c>
      <c r="W28" s="126">
        <v>18</v>
      </c>
      <c r="X28" s="126">
        <v>16</v>
      </c>
      <c r="Y28" s="47">
        <f>('11-6'!B28)/AA28*100</f>
        <v>3.711995861189284</v>
      </c>
      <c r="Z28" s="14"/>
      <c r="AA28" s="114">
        <v>224219</v>
      </c>
      <c r="AB28" s="11">
        <v>224219</v>
      </c>
      <c r="AC28" s="11">
        <v>8323</v>
      </c>
      <c r="AD28" s="402">
        <f t="shared" si="0"/>
        <v>3.711995861189284</v>
      </c>
      <c r="AE28" s="11">
        <f t="shared" si="1"/>
        <v>1</v>
      </c>
    </row>
    <row r="29" spans="1:31" ht="22.5" customHeight="1">
      <c r="A29" s="304" t="s">
        <v>741</v>
      </c>
      <c r="B29" s="400">
        <f t="shared" si="3"/>
        <v>2084</v>
      </c>
      <c r="C29" s="400">
        <f t="shared" si="5"/>
        <v>1260</v>
      </c>
      <c r="D29" s="400">
        <f t="shared" si="4"/>
        <v>824</v>
      </c>
      <c r="E29" s="126">
        <v>351</v>
      </c>
      <c r="F29" s="126">
        <v>283</v>
      </c>
      <c r="G29" s="126">
        <v>207</v>
      </c>
      <c r="H29" s="126">
        <v>131</v>
      </c>
      <c r="I29" s="126">
        <v>19</v>
      </c>
      <c r="J29" s="126">
        <v>7</v>
      </c>
      <c r="K29" s="126">
        <v>59</v>
      </c>
      <c r="L29" s="126">
        <v>33</v>
      </c>
      <c r="M29" s="126">
        <v>16</v>
      </c>
      <c r="N29" s="126">
        <v>5</v>
      </c>
      <c r="O29" s="126">
        <v>79</v>
      </c>
      <c r="P29" s="126">
        <v>59</v>
      </c>
      <c r="Q29" s="126">
        <v>406</v>
      </c>
      <c r="R29" s="126">
        <v>232</v>
      </c>
      <c r="S29" s="126">
        <v>12</v>
      </c>
      <c r="T29" s="126">
        <v>5</v>
      </c>
      <c r="U29" s="126">
        <v>105</v>
      </c>
      <c r="V29" s="126">
        <v>69</v>
      </c>
      <c r="W29" s="126">
        <v>6</v>
      </c>
      <c r="X29" s="121">
        <v>0</v>
      </c>
      <c r="Y29" s="47">
        <f>('11-6'!B29)/AA29*100</f>
        <v>4.9353461483463725</v>
      </c>
      <c r="Z29" s="14"/>
      <c r="AA29" s="114">
        <v>48953</v>
      </c>
      <c r="AB29" s="11">
        <v>48953</v>
      </c>
      <c r="AC29" s="11">
        <v>2416</v>
      </c>
      <c r="AD29" s="402">
        <f t="shared" si="0"/>
        <v>4.9353461483463725</v>
      </c>
      <c r="AE29" s="11">
        <f t="shared" si="1"/>
        <v>1</v>
      </c>
    </row>
    <row r="30" spans="1:31" ht="22.5" customHeight="1">
      <c r="A30" s="304" t="s">
        <v>742</v>
      </c>
      <c r="B30" s="400">
        <f t="shared" si="3"/>
        <v>2361</v>
      </c>
      <c r="C30" s="400">
        <f t="shared" si="5"/>
        <v>1375</v>
      </c>
      <c r="D30" s="400">
        <f t="shared" si="4"/>
        <v>986</v>
      </c>
      <c r="E30" s="126">
        <v>373</v>
      </c>
      <c r="F30" s="126">
        <v>355</v>
      </c>
      <c r="G30" s="126">
        <v>228</v>
      </c>
      <c r="H30" s="126">
        <v>154</v>
      </c>
      <c r="I30" s="126">
        <v>25</v>
      </c>
      <c r="J30" s="126">
        <v>6</v>
      </c>
      <c r="K30" s="126">
        <v>71</v>
      </c>
      <c r="L30" s="126">
        <v>37</v>
      </c>
      <c r="M30" s="126">
        <v>16</v>
      </c>
      <c r="N30" s="126">
        <v>8</v>
      </c>
      <c r="O30" s="126">
        <v>87</v>
      </c>
      <c r="P30" s="126">
        <v>84</v>
      </c>
      <c r="Q30" s="126">
        <v>405</v>
      </c>
      <c r="R30" s="126">
        <v>238</v>
      </c>
      <c r="S30" s="126">
        <v>5</v>
      </c>
      <c r="T30" s="126">
        <v>4</v>
      </c>
      <c r="U30" s="126">
        <v>164</v>
      </c>
      <c r="V30" s="126">
        <v>99</v>
      </c>
      <c r="W30" s="126">
        <v>1</v>
      </c>
      <c r="X30" s="126">
        <v>1</v>
      </c>
      <c r="Y30" s="47">
        <f>('11-6'!B30)/AA30*100</f>
        <v>4.258936093392707</v>
      </c>
      <c r="Z30" s="14"/>
      <c r="AA30" s="114">
        <v>66472</v>
      </c>
      <c r="AB30" s="11">
        <v>66472</v>
      </c>
      <c r="AC30" s="11">
        <v>2831</v>
      </c>
      <c r="AD30" s="402">
        <f t="shared" si="0"/>
        <v>4.258936093392707</v>
      </c>
      <c r="AE30" s="11">
        <f t="shared" si="1"/>
        <v>1</v>
      </c>
    </row>
    <row r="31" spans="1:31" ht="22.5" customHeight="1" thickBot="1">
      <c r="A31" s="305" t="s">
        <v>743</v>
      </c>
      <c r="B31" s="401">
        <f t="shared" si="3"/>
        <v>641</v>
      </c>
      <c r="C31" s="401">
        <f t="shared" si="5"/>
        <v>409</v>
      </c>
      <c r="D31" s="401">
        <f t="shared" si="4"/>
        <v>232</v>
      </c>
      <c r="E31" s="127">
        <v>101</v>
      </c>
      <c r="F31" s="127">
        <v>83</v>
      </c>
      <c r="G31" s="127">
        <v>55</v>
      </c>
      <c r="H31" s="127">
        <v>34</v>
      </c>
      <c r="I31" s="127">
        <v>2</v>
      </c>
      <c r="J31" s="127">
        <v>1</v>
      </c>
      <c r="K31" s="127">
        <v>21</v>
      </c>
      <c r="L31" s="127">
        <v>12</v>
      </c>
      <c r="M31" s="127">
        <v>2</v>
      </c>
      <c r="N31" s="127">
        <v>1</v>
      </c>
      <c r="O31" s="127">
        <v>21</v>
      </c>
      <c r="P31" s="127">
        <v>13</v>
      </c>
      <c r="Q31" s="127">
        <v>155</v>
      </c>
      <c r="R31" s="127">
        <v>60</v>
      </c>
      <c r="S31" s="146">
        <v>0</v>
      </c>
      <c r="T31" s="127">
        <v>0</v>
      </c>
      <c r="U31" s="127">
        <v>51</v>
      </c>
      <c r="V31" s="127">
        <v>28</v>
      </c>
      <c r="W31" s="127">
        <v>1</v>
      </c>
      <c r="X31" s="147">
        <v>0</v>
      </c>
      <c r="Y31" s="148">
        <f>('11-6'!B31)/AA31*100</f>
        <v>6.605823554976098</v>
      </c>
      <c r="Z31" s="14"/>
      <c r="AA31" s="114">
        <v>11505</v>
      </c>
      <c r="AB31" s="11">
        <v>11505</v>
      </c>
      <c r="AC31" s="11">
        <v>760</v>
      </c>
      <c r="AD31" s="402">
        <f t="shared" si="0"/>
        <v>6.605823554976098</v>
      </c>
      <c r="AE31" s="11">
        <f t="shared" si="1"/>
        <v>1</v>
      </c>
    </row>
    <row r="32" spans="1:25" s="158" customFormat="1" ht="15" customHeight="1">
      <c r="A32" s="178"/>
      <c r="G32" s="176"/>
      <c r="H32" s="176"/>
      <c r="I32" s="176"/>
      <c r="J32" s="176"/>
      <c r="K32" s="176"/>
      <c r="L32" s="176"/>
      <c r="M32" s="289"/>
      <c r="N32" s="176"/>
      <c r="O32" s="176"/>
      <c r="P32" s="176"/>
      <c r="Q32" s="176"/>
      <c r="R32" s="176"/>
      <c r="S32" s="176"/>
      <c r="T32" s="176"/>
      <c r="U32" s="176"/>
      <c r="V32" s="176"/>
      <c r="W32" s="176"/>
      <c r="X32" s="176"/>
      <c r="Y32" s="176"/>
    </row>
    <row r="33" s="158" customFormat="1" ht="12.75"/>
    <row r="34" s="158" customFormat="1" ht="12.75"/>
    <row r="35" s="158" customFormat="1" ht="12.75"/>
    <row r="36" s="158" customFormat="1" ht="12.75"/>
    <row r="37" s="158" customFormat="1" ht="12.75"/>
    <row r="38" s="158" customFormat="1" ht="12.75"/>
    <row r="39" s="158" customFormat="1" ht="12.75"/>
    <row r="40" s="158" customFormat="1" ht="12.75"/>
    <row r="41" s="158" customFormat="1" ht="12.75"/>
    <row r="42" s="158" customFormat="1" ht="12.75"/>
    <row r="43" s="158" customFormat="1" ht="12.75"/>
    <row r="44" s="158" customFormat="1" ht="12.75"/>
    <row r="45" s="158" customFormat="1" ht="12.75"/>
  </sheetData>
  <sheetProtection/>
  <mergeCells count="29">
    <mergeCell ref="U5:V5"/>
    <mergeCell ref="A2:L2"/>
    <mergeCell ref="M2:Y2"/>
    <mergeCell ref="A4:A5"/>
    <mergeCell ref="B4:L4"/>
    <mergeCell ref="M4:X4"/>
    <mergeCell ref="Y4:Y5"/>
    <mergeCell ref="B5:D5"/>
    <mergeCell ref="E5:F5"/>
    <mergeCell ref="G5:H5"/>
    <mergeCell ref="O6:P6"/>
    <mergeCell ref="Q6:R6"/>
    <mergeCell ref="S6:T6"/>
    <mergeCell ref="K5:L5"/>
    <mergeCell ref="M5:N5"/>
    <mergeCell ref="O5:P5"/>
    <mergeCell ref="Q5:R5"/>
    <mergeCell ref="S5:T5"/>
    <mergeCell ref="M6:N6"/>
    <mergeCell ref="I5:J5"/>
    <mergeCell ref="U6:V6"/>
    <mergeCell ref="W6:X6"/>
    <mergeCell ref="Y6:Y8"/>
    <mergeCell ref="W5:X5"/>
    <mergeCell ref="B6:D6"/>
    <mergeCell ref="E6:F6"/>
    <mergeCell ref="G6:H6"/>
    <mergeCell ref="I6:J6"/>
    <mergeCell ref="K6:L6"/>
  </mergeCells>
  <printOptions horizontalCentered="1"/>
  <pageMargins left="0.6692913385826772" right="0.6692913385826772" top="0.6692913385826772" bottom="0.6692913385826772" header="0.2755905511811024" footer="0.2755905511811024"/>
  <pageSetup firstPageNumber="352"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H;桃園市政府主計處</dc:creator>
  <cp:keywords/>
  <dc:description/>
  <cp:lastModifiedBy>簡呈澔</cp:lastModifiedBy>
  <cp:lastPrinted>2018-08-17T06:29:14Z</cp:lastPrinted>
  <dcterms:created xsi:type="dcterms:W3CDTF">2016-08-15T01:41:41Z</dcterms:created>
  <dcterms:modified xsi:type="dcterms:W3CDTF">2018-08-17T06:29:47Z</dcterms:modified>
  <cp:category/>
  <cp:version/>
  <cp:contentType/>
  <cp:contentStatus/>
</cp:coreProperties>
</file>