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1395" windowWidth="15330" windowHeight="4710" tabRatio="593" activeTab="0"/>
  </bookViews>
  <sheets>
    <sheet name="2-1、現住戶、人口密度及性比例" sheetId="1" r:id="rId1"/>
    <sheet name="2-2、戶籍動態" sheetId="2" r:id="rId2"/>
    <sheet name="2-2、戶籍動態(續) " sheetId="3" r:id="rId3"/>
    <sheet name="2-3、現住人口之年齡分配 " sheetId="4" r:id="rId4"/>
    <sheet name="2-3、現住人口之年齡分配 (續一)" sheetId="5" r:id="rId5"/>
    <sheet name="2-3、現住人口之年齡分配（續完）" sheetId="6" r:id="rId6"/>
    <sheet name="2-4、滿十五歲以上現住人口之教育程度－按年齡別分" sheetId="7" r:id="rId7"/>
    <sheet name="2-4、滿十五歲以上現住人口之教育程度－按年齡別分(續)" sheetId="8" r:id="rId8"/>
    <sheet name="2-5、滿十五歲以上現住人口之教育程度－按鄉鎮市別分 (續) " sheetId="9" r:id="rId9"/>
    <sheet name="2-6、現住人口之婚姻狀況－按年齡別分" sheetId="10" r:id="rId10"/>
    <sheet name="2-7、現住人口之婚姻狀況－按鄉鎮市別分" sheetId="11" r:id="rId11"/>
    <sheet name="2-8、現住原住民戶口數" sheetId="12" r:id="rId12"/>
    <sheet name="2-9、現住原住民年齡分配" sheetId="13" r:id="rId13"/>
    <sheet name="2-9、現住原住民年齡分配(續完)" sheetId="14" r:id="rId14"/>
    <sheet name="2-10、滿15歲以上現住原住民教育程度" sheetId="15" r:id="rId15"/>
    <sheet name="2-10、滿15歲以上現住原住民教育程度(續1)" sheetId="16" r:id="rId16"/>
    <sheet name="2-10、滿15歲以上現住原住民教育程度(續完)" sheetId="17" r:id="rId17"/>
    <sheet name="2-11、現住原住民婚姻狀況" sheetId="18" r:id="rId18"/>
    <sheet name="2-11、現住原住民婚姻狀況(續)" sheetId="19" r:id="rId19"/>
  </sheets>
  <definedNames>
    <definedName name="_xlnm.Print_Area" localSheetId="2">'2-2、戶籍動態(續) '!$A$1:$S$32</definedName>
  </definedNames>
  <calcPr fullCalcOnLoad="1"/>
</workbook>
</file>

<file path=xl/sharedStrings.xml><?xml version="1.0" encoding="utf-8"?>
<sst xmlns="http://schemas.openxmlformats.org/spreadsheetml/2006/main" count="2225" uniqueCount="799">
  <si>
    <r>
      <t xml:space="preserve">    55-59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55-59 Years</t>
    </r>
  </si>
  <si>
    <r>
      <t xml:space="preserve">    60-64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60-64 Years</t>
    </r>
  </si>
  <si>
    <r>
      <t xml:space="preserve">    65-69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65-69 Years</t>
    </r>
  </si>
  <si>
    <r>
      <t xml:space="preserve">    70-74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70-74 Years</t>
    </r>
  </si>
  <si>
    <r>
      <t xml:space="preserve">    75-79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75-79 Years</t>
    </r>
  </si>
  <si>
    <r>
      <t xml:space="preserve">    80-84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80-84 Years</t>
    </r>
  </si>
  <si>
    <r>
      <t xml:space="preserve">    85-89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85-89 Years</t>
    </r>
  </si>
  <si>
    <r>
      <t xml:space="preserve">    90-94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90-94 Years</t>
    </r>
  </si>
  <si>
    <r>
      <t xml:space="preserve">    95-99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95-99 Years</t>
    </r>
  </si>
  <si>
    <r>
      <t>100</t>
    </r>
    <r>
      <rPr>
        <sz val="9"/>
        <rFont val="華康粗圓體"/>
        <family val="3"/>
      </rPr>
      <t>歲以上</t>
    </r>
    <r>
      <rPr>
        <sz val="9"/>
        <rFont val="Arial Narrow"/>
        <family val="2"/>
      </rPr>
      <t xml:space="preserve">  Over 100 Years</t>
    </r>
  </si>
  <si>
    <r>
      <t>女</t>
    </r>
    <r>
      <rPr>
        <sz val="9"/>
        <rFont val="Arial Narrow"/>
        <family val="2"/>
      </rPr>
      <t xml:space="preserve">
Female</t>
    </r>
  </si>
  <si>
    <t>人口</t>
  </si>
  <si>
    <t>單位：人</t>
  </si>
  <si>
    <t>年底別及鄉鎮市別</t>
  </si>
  <si>
    <r>
      <t xml:space="preserve">總　　　計
</t>
    </r>
    <r>
      <rPr>
        <sz val="9"/>
        <rFont val="Arial Narrow"/>
        <family val="2"/>
      </rPr>
      <t>Grand Total</t>
    </r>
  </si>
  <si>
    <r>
      <t xml:space="preserve">未　　　婚
</t>
    </r>
    <r>
      <rPr>
        <sz val="9"/>
        <rFont val="Arial Narrow"/>
        <family val="2"/>
      </rPr>
      <t>Single</t>
    </r>
  </si>
  <si>
    <r>
      <t xml:space="preserve">有　　　偶
</t>
    </r>
    <r>
      <rPr>
        <sz val="9"/>
        <rFont val="Arial Narrow"/>
        <family val="2"/>
      </rPr>
      <t>Married</t>
    </r>
  </si>
  <si>
    <r>
      <t xml:space="preserve">離　　　婚
</t>
    </r>
    <r>
      <rPr>
        <sz val="9"/>
        <rFont val="Arial Narrow"/>
        <family val="2"/>
      </rPr>
      <t>Divorced</t>
    </r>
  </si>
  <si>
    <r>
      <t xml:space="preserve">喪　　　偶
</t>
    </r>
    <r>
      <rPr>
        <sz val="9"/>
        <rFont val="Arial Narrow"/>
        <family val="2"/>
      </rPr>
      <t>Widowed</t>
    </r>
  </si>
  <si>
    <t>End of Year &amp; District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</si>
  <si>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</si>
  <si>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</si>
  <si>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</si>
  <si>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t>Source : Bureau of Civil Affairs 1222-01-03-2.</t>
  </si>
  <si>
    <r>
      <t>表</t>
    </r>
    <r>
      <rPr>
        <sz val="12"/>
        <rFont val="Arial"/>
        <family val="2"/>
      </rPr>
      <t>2-7</t>
    </r>
    <r>
      <rPr>
        <sz val="12"/>
        <rFont val="華康粗圓體"/>
        <family val="3"/>
      </rPr>
      <t>、現住人口之婚姻狀況－按鄉鎮市別分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</si>
  <si>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 By District</t>
    </r>
  </si>
  <si>
    <r>
      <t>表</t>
    </r>
    <r>
      <rPr>
        <sz val="12"/>
        <rFont val="Arial"/>
        <family val="2"/>
      </rPr>
      <t>2-9</t>
    </r>
    <r>
      <rPr>
        <sz val="12"/>
        <rFont val="華康粗圓體"/>
        <family val="3"/>
      </rPr>
      <t>、現住原住民年齡分配（續）</t>
    </r>
  </si>
  <si>
    <r>
      <t>計</t>
    </r>
    <r>
      <rPr>
        <sz val="7.5"/>
        <color indexed="8"/>
        <rFont val="Arial Narrow"/>
        <family val="2"/>
      </rPr>
      <t xml:space="preserve">  Total</t>
    </r>
  </si>
  <si>
    <r>
      <t xml:space="preserve">後二年
</t>
    </r>
    <r>
      <rPr>
        <sz val="7.5"/>
        <rFont val="Arial Narrow"/>
        <family val="2"/>
      </rPr>
      <t>Last 2 Years</t>
    </r>
  </si>
  <si>
    <r>
      <t>計</t>
    </r>
    <r>
      <rPr>
        <sz val="9"/>
        <color indexed="8"/>
        <rFont val="Arial Narrow"/>
        <family val="2"/>
      </rPr>
      <t xml:space="preserve">  Total</t>
    </r>
  </si>
  <si>
    <r>
      <t xml:space="preserve">未　　　婚
</t>
    </r>
    <r>
      <rPr>
        <sz val="9"/>
        <color indexed="8"/>
        <rFont val="Arial Narrow"/>
        <family val="2"/>
      </rPr>
      <t>Single</t>
    </r>
  </si>
  <si>
    <r>
      <t xml:space="preserve">離　　　婚
</t>
    </r>
    <r>
      <rPr>
        <sz val="9"/>
        <color indexed="8"/>
        <rFont val="Arial Narrow"/>
        <family val="2"/>
      </rPr>
      <t>Divorced</t>
    </r>
  </si>
  <si>
    <r>
      <t xml:space="preserve">喪　　　偶
</t>
    </r>
    <r>
      <rPr>
        <sz val="9"/>
        <color indexed="8"/>
        <rFont val="Arial Narrow"/>
        <family val="2"/>
      </rPr>
      <t>Widowed</t>
    </r>
  </si>
  <si>
    <t xml:space="preserve">Aborigines  </t>
  </si>
  <si>
    <r>
      <t xml:space="preserve">合計
</t>
    </r>
    <r>
      <rPr>
        <sz val="9"/>
        <color indexed="8"/>
        <rFont val="Arial Narrow"/>
        <family val="2"/>
      </rPr>
      <t>Total</t>
    </r>
  </si>
  <si>
    <r>
      <t>男</t>
    </r>
    <r>
      <rPr>
        <sz val="9"/>
        <color indexed="8"/>
        <rFont val="Arial Narrow"/>
        <family val="2"/>
      </rPr>
      <t xml:space="preserve">
Male</t>
    </r>
  </si>
  <si>
    <r>
      <t xml:space="preserve">合計
</t>
    </r>
    <r>
      <rPr>
        <sz val="9"/>
        <color indexed="8"/>
        <rFont val="Arial Narrow"/>
        <family val="2"/>
      </rPr>
      <t>Total</t>
    </r>
  </si>
  <si>
    <r>
      <t>合計</t>
    </r>
    <r>
      <rPr>
        <sz val="9"/>
        <color indexed="8"/>
        <rFont val="Arial Narrow"/>
        <family val="2"/>
      </rPr>
      <t xml:space="preserve">
Total</t>
    </r>
  </si>
  <si>
    <r>
      <t>資料來源：本府民政局</t>
    </r>
    <r>
      <rPr>
        <sz val="8"/>
        <color indexed="8"/>
        <rFont val="Arial Narrow"/>
        <family val="2"/>
      </rPr>
      <t>1511-00-03-2 (95</t>
    </r>
    <r>
      <rPr>
        <sz val="8"/>
        <color indexed="8"/>
        <rFont val="華康中黑體"/>
        <family val="3"/>
      </rPr>
      <t>年起開始報送</t>
    </r>
    <r>
      <rPr>
        <sz val="8"/>
        <color indexed="8"/>
        <rFont val="Arial Narrow"/>
        <family val="2"/>
      </rPr>
      <t>)</t>
    </r>
    <r>
      <rPr>
        <sz val="8"/>
        <color indexed="8"/>
        <rFont val="華康中黑體"/>
        <family val="3"/>
      </rPr>
      <t>。</t>
    </r>
  </si>
  <si>
    <r>
      <t xml:space="preserve">年底別及鄉鎮市別
</t>
    </r>
    <r>
      <rPr>
        <sz val="9"/>
        <rFont val="Arial Narrow"/>
        <family val="2"/>
      </rPr>
      <t>End of Year &amp; District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</si>
  <si>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</si>
  <si>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　桃園市</t>
    </r>
    <r>
      <rPr>
        <sz val="9"/>
        <rFont val="Arial Narrow"/>
        <family val="2"/>
      </rPr>
      <t xml:space="preserve"> Taoyuan City</t>
    </r>
  </si>
  <si>
    <r>
      <t>　中壢市</t>
    </r>
    <r>
      <rPr>
        <sz val="9"/>
        <rFont val="Arial Narrow"/>
        <family val="2"/>
      </rPr>
      <t xml:space="preserve"> Jhongli City</t>
    </r>
  </si>
  <si>
    <r>
      <t>　平鎮市</t>
    </r>
    <r>
      <rPr>
        <sz val="9"/>
        <rFont val="Arial Narrow"/>
        <family val="2"/>
      </rPr>
      <t xml:space="preserve"> Pingjhen City</t>
    </r>
  </si>
  <si>
    <r>
      <t>　八德市</t>
    </r>
    <r>
      <rPr>
        <sz val="9"/>
        <rFont val="Arial Narrow"/>
        <family val="2"/>
      </rPr>
      <t xml:space="preserve"> Bade City</t>
    </r>
  </si>
  <si>
    <r>
      <t>　楊梅市</t>
    </r>
    <r>
      <rPr>
        <sz val="9"/>
        <rFont val="Arial Narrow"/>
        <family val="2"/>
      </rPr>
      <t xml:space="preserve"> Yangmei City</t>
    </r>
  </si>
  <si>
    <r>
      <t>　大溪鎮</t>
    </r>
    <r>
      <rPr>
        <sz val="9"/>
        <rFont val="Arial Narrow"/>
        <family val="2"/>
      </rPr>
      <t xml:space="preserve"> Dasi Township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</si>
  <si>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</si>
  <si>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</si>
  <si>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</si>
  <si>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</si>
  <si>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</si>
  <si>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</si>
  <si>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</si>
  <si>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r>
      <t>資料來源：本府民政局</t>
    </r>
    <r>
      <rPr>
        <sz val="9"/>
        <rFont val="Arial Narrow"/>
        <family val="2"/>
      </rPr>
      <t>1222-02-02-2</t>
    </r>
    <r>
      <rPr>
        <sz val="9"/>
        <rFont val="華康中黑體"/>
        <family val="3"/>
      </rPr>
      <t>。</t>
    </r>
  </si>
  <si>
    <t>Source : Bureau of Civil Affairs 1222-02-02-2.</t>
  </si>
  <si>
    <r>
      <t>2-9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</t>
    </r>
  </si>
  <si>
    <t>Source : Bureau of Civil Affairs 1222-02-03-2.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</si>
  <si>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</si>
  <si>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資料來源：本府民政局</t>
    </r>
    <r>
      <rPr>
        <sz val="9"/>
        <rFont val="Arial Narrow"/>
        <family val="2"/>
      </rPr>
      <t>1222-02-03-2</t>
    </r>
    <r>
      <rPr>
        <sz val="9"/>
        <rFont val="華康中黑體"/>
        <family val="3"/>
      </rPr>
      <t>。</t>
    </r>
  </si>
  <si>
    <t>-</t>
  </si>
  <si>
    <t>Grand Total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</si>
  <si>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</si>
  <si>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計</t>
    </r>
    <r>
      <rPr>
        <sz val="9"/>
        <rFont val="Arial Narrow"/>
        <family val="2"/>
      </rPr>
      <t>Total</t>
    </r>
  </si>
  <si>
    <r>
      <t>女</t>
    </r>
    <r>
      <rPr>
        <sz val="9"/>
        <rFont val="Arial Narrow"/>
        <family val="2"/>
      </rPr>
      <t>Female</t>
    </r>
  </si>
  <si>
    <r>
      <t xml:space="preserve">桃園市
</t>
    </r>
    <r>
      <rPr>
        <sz val="9"/>
        <rFont val="Arial Narrow"/>
        <family val="2"/>
      </rPr>
      <t>Taoyuan City</t>
    </r>
  </si>
  <si>
    <r>
      <t xml:space="preserve">中壢市
</t>
    </r>
    <r>
      <rPr>
        <sz val="9"/>
        <rFont val="Arial Narrow"/>
        <family val="2"/>
      </rPr>
      <t>Jhongli City</t>
    </r>
  </si>
  <si>
    <r>
      <t xml:space="preserve">平鎮市
</t>
    </r>
    <r>
      <rPr>
        <sz val="9"/>
        <rFont val="Arial Narrow"/>
        <family val="2"/>
      </rPr>
      <t>Pingjhen City</t>
    </r>
  </si>
  <si>
    <r>
      <t xml:space="preserve">八德市
</t>
    </r>
    <r>
      <rPr>
        <sz val="9"/>
        <rFont val="Arial Narrow"/>
        <family val="2"/>
      </rPr>
      <t>Bade City</t>
    </r>
  </si>
  <si>
    <r>
      <t xml:space="preserve">楊梅市
</t>
    </r>
    <r>
      <rPr>
        <sz val="9"/>
        <rFont val="Arial Narrow"/>
        <family val="2"/>
      </rPr>
      <t>Yangmei City</t>
    </r>
  </si>
  <si>
    <r>
      <t xml:space="preserve">大溪鎮
</t>
    </r>
    <r>
      <rPr>
        <sz val="9"/>
        <rFont val="Arial Narrow"/>
        <family val="2"/>
      </rPr>
      <t>Dasi Township</t>
    </r>
  </si>
  <si>
    <r>
      <t xml:space="preserve">蘆竹鄉
</t>
    </r>
    <r>
      <rPr>
        <sz val="9"/>
        <rFont val="Arial Narrow"/>
        <family val="2"/>
      </rPr>
      <t>Lujhu Township</t>
    </r>
  </si>
  <si>
    <r>
      <t xml:space="preserve">大園鄉
</t>
    </r>
    <r>
      <rPr>
        <sz val="9"/>
        <rFont val="Arial Narrow"/>
        <family val="2"/>
      </rPr>
      <t>Dayuan Township</t>
    </r>
  </si>
  <si>
    <r>
      <t xml:space="preserve">龜山鄉
</t>
    </r>
    <r>
      <rPr>
        <sz val="9"/>
        <rFont val="Arial Narrow"/>
        <family val="2"/>
      </rPr>
      <t>Gueishan Township</t>
    </r>
  </si>
  <si>
    <r>
      <t xml:space="preserve">龍潭鄉
</t>
    </r>
    <r>
      <rPr>
        <sz val="9"/>
        <rFont val="Arial Narrow"/>
        <family val="2"/>
      </rPr>
      <t>Longtan Township</t>
    </r>
  </si>
  <si>
    <r>
      <t xml:space="preserve">新屋鄉
</t>
    </r>
    <r>
      <rPr>
        <sz val="9"/>
        <rFont val="Arial Narrow"/>
        <family val="2"/>
      </rPr>
      <t>Sinwu Township</t>
    </r>
  </si>
  <si>
    <r>
      <t xml:space="preserve">觀音鄉
</t>
    </r>
    <r>
      <rPr>
        <sz val="9"/>
        <rFont val="Arial Narrow"/>
        <family val="2"/>
      </rPr>
      <t>Guanyin Township</t>
    </r>
  </si>
  <si>
    <r>
      <t xml:space="preserve">復興鄉
</t>
    </r>
    <r>
      <rPr>
        <sz val="9"/>
        <rFont val="Arial Narrow"/>
        <family val="2"/>
      </rPr>
      <t>Fusing Township</t>
    </r>
  </si>
  <si>
    <t>Source : Bureau of Civil Affairs 1222-02-05-2.</t>
  </si>
  <si>
    <t>5 Years System</t>
  </si>
  <si>
    <r>
      <t>專　科</t>
    </r>
    <r>
      <rPr>
        <sz val="7"/>
        <rFont val="Arial Narrow"/>
        <family val="2"/>
      </rPr>
      <t xml:space="preserve">   Junior College</t>
    </r>
  </si>
  <si>
    <r>
      <t xml:space="preserve">二、三年制
</t>
    </r>
    <r>
      <rPr>
        <sz val="6.5"/>
        <rFont val="Arial Narrow"/>
        <family val="2"/>
      </rPr>
      <t>2,3 Years System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</si>
  <si>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</si>
  <si>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</si>
  <si>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</si>
  <si>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</si>
  <si>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</si>
  <si>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</si>
  <si>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</si>
  <si>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t>數</t>
  </si>
  <si>
    <t>平地原住民</t>
  </si>
  <si>
    <t>山地原住民</t>
  </si>
  <si>
    <t xml:space="preserve"> Total</t>
  </si>
  <si>
    <t>Aborigines in Plains</t>
  </si>
  <si>
    <t>Aborigines in Mountains</t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</si>
  <si>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</si>
  <si>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</si>
  <si>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t>表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>、現住原住民戶口數</t>
    </r>
  </si>
  <si>
    <r>
      <t>計</t>
    </r>
    <r>
      <rPr>
        <sz val="9"/>
        <rFont val="Arial Narrow"/>
        <family val="2"/>
      </rPr>
      <t>Total</t>
    </r>
  </si>
  <si>
    <r>
      <t>男</t>
    </r>
    <r>
      <rPr>
        <sz val="9"/>
        <rFont val="Arial Narrow"/>
        <family val="2"/>
      </rPr>
      <t>Male</t>
    </r>
  </si>
  <si>
    <r>
      <t>女</t>
    </r>
    <r>
      <rPr>
        <sz val="9"/>
        <rFont val="Arial Narrow"/>
        <family val="2"/>
      </rPr>
      <t>Female</t>
    </r>
  </si>
  <si>
    <r>
      <t>計</t>
    </r>
    <r>
      <rPr>
        <sz val="9"/>
        <color indexed="8"/>
        <rFont val="Arial Narrow"/>
        <family val="2"/>
      </rPr>
      <t>Total</t>
    </r>
  </si>
  <si>
    <r>
      <t>女</t>
    </r>
    <r>
      <rPr>
        <sz val="9"/>
        <color indexed="8"/>
        <rFont val="Arial Narrow"/>
        <family val="2"/>
      </rPr>
      <t>Female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</si>
  <si>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</si>
  <si>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</si>
  <si>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</si>
  <si>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</si>
  <si>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</si>
  <si>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</si>
  <si>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</si>
  <si>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</si>
  <si>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</si>
  <si>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</si>
  <si>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</si>
  <si>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</si>
  <si>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</si>
  <si>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</si>
  <si>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</si>
  <si>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</si>
  <si>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t>人口密度</t>
  </si>
  <si>
    <r>
      <t>男</t>
    </r>
    <r>
      <rPr>
        <sz val="9"/>
        <color indexed="8"/>
        <rFont val="Arial Narrow"/>
        <family val="2"/>
      </rPr>
      <t>Male</t>
    </r>
  </si>
  <si>
    <t>性別</t>
  </si>
  <si>
    <t>村里數</t>
  </si>
  <si>
    <r>
      <t>男</t>
    </r>
    <r>
      <rPr>
        <sz val="7"/>
        <color indexed="8"/>
        <rFont val="Arial Narrow"/>
        <family val="2"/>
      </rPr>
      <t>Male</t>
    </r>
  </si>
  <si>
    <t>Graduated</t>
  </si>
  <si>
    <t>5 Years System</t>
  </si>
  <si>
    <t>Illiterate</t>
  </si>
  <si>
    <t>Total</t>
  </si>
  <si>
    <t>畢業</t>
  </si>
  <si>
    <t>Total</t>
  </si>
  <si>
    <t>Others</t>
  </si>
  <si>
    <t>人口</t>
  </si>
  <si>
    <t>單位：人</t>
  </si>
  <si>
    <t>Num. of  Neighborhood</t>
  </si>
  <si>
    <t>（人／平方公里）</t>
  </si>
  <si>
    <t xml:space="preserve">Households </t>
  </si>
  <si>
    <t>Population (Person)</t>
  </si>
  <si>
    <t xml:space="preserve">
End of Year &amp; District</t>
  </si>
  <si>
    <t>Taipei City</t>
  </si>
  <si>
    <t>First Reg.</t>
  </si>
  <si>
    <t>To Foreign Countries</t>
  </si>
  <si>
    <t xml:space="preserve"> Num. of Immigrants</t>
  </si>
  <si>
    <t>Population</t>
  </si>
  <si>
    <t>有</t>
  </si>
  <si>
    <t>計</t>
  </si>
  <si>
    <t>End of Year &amp; District</t>
  </si>
  <si>
    <t>人</t>
  </si>
  <si>
    <t>合　　計</t>
  </si>
  <si>
    <t>合</t>
  </si>
  <si>
    <t>口</t>
  </si>
  <si>
    <r>
      <t xml:space="preserve">合計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</si>
  <si>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</si>
  <si>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</si>
  <si>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>(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)</t>
    </r>
  </si>
  <si>
    <r>
      <t>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</si>
  <si>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t>年底別及
鄉鎮市別</t>
  </si>
  <si>
    <r>
      <t>面　　積</t>
    </r>
  </si>
  <si>
    <r>
      <t>現　住　戶　口</t>
    </r>
    <r>
      <rPr>
        <sz val="9"/>
        <rFont val="Arial Narrow"/>
        <family val="2"/>
      </rPr>
      <t xml:space="preserve">  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</si>
  <si>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</si>
  <si>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</si>
  <si>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</si>
  <si>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</si>
  <si>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</si>
  <si>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</si>
  <si>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t>年底別</t>
  </si>
  <si>
    <t>全年齡</t>
  </si>
  <si>
    <t>肄業</t>
  </si>
  <si>
    <r>
      <t>　八德市</t>
    </r>
    <r>
      <rPr>
        <sz val="9"/>
        <rFont val="Arial Narrow"/>
        <family val="2"/>
      </rPr>
      <t xml:space="preserve"> Bade City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</si>
  <si>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</si>
  <si>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</si>
  <si>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</si>
  <si>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</si>
  <si>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　桃園市</t>
    </r>
    <r>
      <rPr>
        <sz val="9"/>
        <rFont val="Arial Narrow"/>
        <family val="2"/>
      </rPr>
      <t xml:space="preserve"> Taoyuan City</t>
    </r>
  </si>
  <si>
    <r>
      <t>　中壢市</t>
    </r>
    <r>
      <rPr>
        <sz val="9"/>
        <rFont val="Arial Narrow"/>
        <family val="2"/>
      </rPr>
      <t xml:space="preserve"> Jhongli City</t>
    </r>
  </si>
  <si>
    <r>
      <t>　平鎮市</t>
    </r>
    <r>
      <rPr>
        <sz val="9"/>
        <rFont val="Arial Narrow"/>
        <family val="2"/>
      </rPr>
      <t xml:space="preserve"> Pingjhen City</t>
    </r>
  </si>
  <si>
    <r>
      <t>　楊梅市</t>
    </r>
    <r>
      <rPr>
        <sz val="9"/>
        <rFont val="Arial Narrow"/>
        <family val="2"/>
      </rPr>
      <t xml:space="preserve"> Yangmei City</t>
    </r>
  </si>
  <si>
    <r>
      <t>　大溪鎮</t>
    </r>
    <r>
      <rPr>
        <sz val="9"/>
        <rFont val="Arial Narrow"/>
        <family val="2"/>
      </rPr>
      <t xml:space="preserve"> Dasi Township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</si>
  <si>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</si>
  <si>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</si>
  <si>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</si>
  <si>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</si>
  <si>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</si>
  <si>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</si>
  <si>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</si>
  <si>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</si>
  <si>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</si>
  <si>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</si>
  <si>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</si>
  <si>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</si>
  <si>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楊梅市</t>
    </r>
    <r>
      <rPr>
        <sz val="9"/>
        <rFont val="Arial Narrow"/>
        <family val="2"/>
      </rPr>
      <t xml:space="preserve"> Yangmei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</si>
  <si>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</si>
  <si>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</si>
  <si>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</si>
  <si>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</si>
  <si>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</si>
  <si>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</si>
  <si>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</si>
  <si>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</si>
  <si>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識字者</t>
  </si>
  <si>
    <t>不識
字者</t>
  </si>
  <si>
    <t>性別</t>
  </si>
  <si>
    <t>總　計</t>
  </si>
  <si>
    <t>自修</t>
  </si>
  <si>
    <t>五年制</t>
  </si>
  <si>
    <r>
      <t xml:space="preserve">研究所
</t>
    </r>
    <r>
      <rPr>
        <sz val="7"/>
        <rFont val="Arial Narrow"/>
        <family val="2"/>
      </rPr>
      <t>Graduate 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</si>
  <si>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</si>
  <si>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</si>
  <si>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t>Grand Total</t>
  </si>
  <si>
    <t>Total</t>
  </si>
  <si>
    <t>Attended</t>
  </si>
  <si>
    <t>總計</t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</si>
  <si>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</si>
  <si>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</si>
  <si>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</si>
  <si>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</si>
  <si>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</si>
  <si>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</si>
  <si>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</si>
  <si>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</si>
  <si>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</si>
  <si>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</si>
  <si>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</si>
  <si>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</si>
  <si>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</si>
  <si>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</si>
  <si>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</si>
  <si>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</si>
  <si>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90</t>
    </r>
    <r>
      <rPr>
        <sz val="9"/>
        <rFont val="華康粗圓體"/>
        <family val="3"/>
      </rPr>
      <t>歲以上</t>
    </r>
  </si>
  <si>
    <t>Sex</t>
  </si>
  <si>
    <t>0~4
Years</t>
  </si>
  <si>
    <t>80~84
Years</t>
  </si>
  <si>
    <t>85~89
Years</t>
  </si>
  <si>
    <t>90 Years of Age and Over</t>
  </si>
  <si>
    <t>Grand 
Total</t>
  </si>
  <si>
    <t>年底別及鄉鎮市別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</si>
  <si>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</si>
  <si>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</si>
  <si>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</si>
  <si>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</si>
  <si>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</si>
  <si>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</si>
  <si>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</si>
  <si>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</si>
  <si>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</si>
  <si>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</si>
  <si>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表</t>
    </r>
    <r>
      <rPr>
        <sz val="12"/>
        <rFont val="Arial"/>
        <family val="2"/>
      </rPr>
      <t>2-9</t>
    </r>
    <r>
      <rPr>
        <sz val="12"/>
        <rFont val="華康粗圓體"/>
        <family val="3"/>
      </rPr>
      <t>、現住原住民年齡分配</t>
    </r>
  </si>
  <si>
    <r>
      <t xml:space="preserve">    </t>
    </r>
    <r>
      <rPr>
        <sz val="9"/>
        <rFont val="華康粗圓體"/>
        <family val="3"/>
      </rPr>
      <t>桃園市</t>
    </r>
    <r>
      <rPr>
        <sz val="9"/>
        <rFont val="Arial Narrow"/>
        <family val="2"/>
      </rPr>
      <t xml:space="preserve"> Taoyuan City</t>
    </r>
  </si>
  <si>
    <t>合　計</t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</si>
  <si>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</si>
  <si>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</si>
  <si>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計
</t>
    </r>
    <r>
      <rPr>
        <sz val="9"/>
        <rFont val="Arial Narrow"/>
        <family val="2"/>
      </rPr>
      <t>Total</t>
    </r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</si>
  <si>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  (Households)</t>
    </r>
  </si>
  <si>
    <t>Num. of Population   (Person)</t>
  </si>
  <si>
    <t>戶　　量</t>
  </si>
  <si>
    <t>性　比　例</t>
  </si>
  <si>
    <t>鄰　數</t>
  </si>
  <si>
    <r>
      <t>2-9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 (Cont.)</t>
    </r>
  </si>
  <si>
    <t>Unit : Person</t>
  </si>
  <si>
    <r>
      <t>表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、現住戶數、人口密度及性比例</t>
    </r>
  </si>
  <si>
    <t>Num. of Village</t>
  </si>
  <si>
    <t>（人／戶）</t>
  </si>
  <si>
    <t xml:space="preserve">Number of House-holds (Households) </t>
  </si>
  <si>
    <t>Sex Ratio
(Male / Female*100)</t>
  </si>
  <si>
    <r>
      <t>人口數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</si>
  <si>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男／女</t>
    </r>
    <r>
      <rPr>
        <sz val="9"/>
        <rFont val="Arial Narrow"/>
        <family val="2"/>
      </rPr>
      <t>*100)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</si>
  <si>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</si>
  <si>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t>Num. of Households 
(Person / Households)</t>
  </si>
  <si>
    <t>Unit : Person</t>
  </si>
  <si>
    <t>新北市</t>
  </si>
  <si>
    <t>台北市</t>
  </si>
  <si>
    <t>台中市</t>
  </si>
  <si>
    <t>台南市</t>
  </si>
  <si>
    <t>高雄市</t>
  </si>
  <si>
    <t>福建省</t>
  </si>
  <si>
    <t>New Taipei City</t>
  </si>
  <si>
    <t>Taichung City</t>
  </si>
  <si>
    <t>Tainan City</t>
  </si>
  <si>
    <t>Kao-hsiung City</t>
  </si>
  <si>
    <t xml:space="preserve">Fuchien Province </t>
  </si>
  <si>
    <r>
      <t>民國</t>
    </r>
    <r>
      <rPr>
        <sz val="9"/>
        <rFont val="Arial Narrow"/>
        <family val="2"/>
      </rPr>
      <t xml:space="preserve"> 91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</si>
  <si>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</si>
  <si>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</si>
  <si>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</si>
  <si>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</si>
  <si>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</si>
  <si>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 xml:space="preserve"> 97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</si>
  <si>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</si>
  <si>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</si>
  <si>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 xml:space="preserve"> 100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</si>
  <si>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t xml:space="preserve">    </t>
    </r>
    <r>
      <rPr>
        <sz val="9"/>
        <rFont val="華康粗圓體"/>
        <family val="3"/>
      </rPr>
      <t>中壢市</t>
    </r>
    <r>
      <rPr>
        <sz val="9"/>
        <rFont val="Arial Narrow"/>
        <family val="2"/>
      </rPr>
      <t xml:space="preserve"> Jhongli City</t>
    </r>
  </si>
  <si>
    <r>
      <t xml:space="preserve">    </t>
    </r>
    <r>
      <rPr>
        <sz val="9"/>
        <rFont val="華康粗圓體"/>
        <family val="3"/>
      </rPr>
      <t>平鎮市</t>
    </r>
    <r>
      <rPr>
        <sz val="9"/>
        <rFont val="Arial Narrow"/>
        <family val="2"/>
      </rPr>
      <t xml:space="preserve"> Pingjhen City</t>
    </r>
  </si>
  <si>
    <r>
      <t xml:space="preserve">    </t>
    </r>
    <r>
      <rPr>
        <sz val="9"/>
        <rFont val="華康粗圓體"/>
        <family val="3"/>
      </rPr>
      <t>八德市</t>
    </r>
    <r>
      <rPr>
        <sz val="9"/>
        <rFont val="Arial Narrow"/>
        <family val="2"/>
      </rPr>
      <t xml:space="preserve"> Bade City</t>
    </r>
  </si>
  <si>
    <r>
      <t xml:space="preserve">    </t>
    </r>
    <r>
      <rPr>
        <sz val="9"/>
        <rFont val="華康粗圓體"/>
        <family val="3"/>
      </rPr>
      <t>楊梅市</t>
    </r>
    <r>
      <rPr>
        <sz val="9"/>
        <rFont val="Arial Narrow"/>
        <family val="2"/>
      </rPr>
      <t xml:space="preserve"> Yangmei City</t>
    </r>
  </si>
  <si>
    <r>
      <t xml:space="preserve">    </t>
    </r>
    <r>
      <rPr>
        <sz val="9"/>
        <rFont val="華康粗圓體"/>
        <family val="3"/>
      </rPr>
      <t>大溪鎮</t>
    </r>
    <r>
      <rPr>
        <sz val="9"/>
        <rFont val="Arial Narrow"/>
        <family val="2"/>
      </rPr>
      <t xml:space="preserve"> Dasi Township</t>
    </r>
  </si>
  <si>
    <r>
      <t xml:space="preserve">    </t>
    </r>
    <r>
      <rPr>
        <sz val="9"/>
        <rFont val="華康粗圓體"/>
        <family val="3"/>
      </rPr>
      <t>蘆竹鄉</t>
    </r>
    <r>
      <rPr>
        <sz val="9"/>
        <rFont val="Arial Narrow"/>
        <family val="2"/>
      </rPr>
      <t xml:space="preserve"> Lujhu Township</t>
    </r>
  </si>
  <si>
    <r>
      <t xml:space="preserve">    </t>
    </r>
    <r>
      <rPr>
        <sz val="9"/>
        <rFont val="華康粗圓體"/>
        <family val="3"/>
      </rPr>
      <t>大園鄉</t>
    </r>
    <r>
      <rPr>
        <sz val="9"/>
        <rFont val="Arial Narrow"/>
        <family val="2"/>
      </rPr>
      <t xml:space="preserve"> Dayuan Township</t>
    </r>
  </si>
  <si>
    <r>
      <t xml:space="preserve">    </t>
    </r>
    <r>
      <rPr>
        <sz val="9"/>
        <rFont val="華康粗圓體"/>
        <family val="3"/>
      </rPr>
      <t>龜山鄉</t>
    </r>
    <r>
      <rPr>
        <sz val="9"/>
        <rFont val="Arial Narrow"/>
        <family val="2"/>
      </rPr>
      <t xml:space="preserve"> Gueishan Township</t>
    </r>
  </si>
  <si>
    <r>
      <t xml:space="preserve">    </t>
    </r>
    <r>
      <rPr>
        <sz val="9"/>
        <rFont val="華康粗圓體"/>
        <family val="3"/>
      </rPr>
      <t>龍潭鄉</t>
    </r>
    <r>
      <rPr>
        <sz val="9"/>
        <rFont val="Arial Narrow"/>
        <family val="2"/>
      </rPr>
      <t xml:space="preserve"> Longtan Township</t>
    </r>
  </si>
  <si>
    <r>
      <t xml:space="preserve">    </t>
    </r>
    <r>
      <rPr>
        <sz val="9"/>
        <rFont val="華康粗圓體"/>
        <family val="3"/>
      </rPr>
      <t>新屋鄉</t>
    </r>
    <r>
      <rPr>
        <sz val="9"/>
        <rFont val="Arial Narrow"/>
        <family val="2"/>
      </rPr>
      <t xml:space="preserve"> Sinwu Township</t>
    </r>
  </si>
  <si>
    <r>
      <t xml:space="preserve">    </t>
    </r>
    <r>
      <rPr>
        <sz val="9"/>
        <rFont val="華康粗圓體"/>
        <family val="3"/>
      </rPr>
      <t>觀音鄉</t>
    </r>
    <r>
      <rPr>
        <sz val="9"/>
        <rFont val="Arial Narrow"/>
        <family val="2"/>
      </rPr>
      <t xml:space="preserve"> Guanyin Township</t>
    </r>
  </si>
  <si>
    <r>
      <t xml:space="preserve">    </t>
    </r>
    <r>
      <rPr>
        <sz val="9"/>
        <rFont val="華康粗圓體"/>
        <family val="3"/>
      </rPr>
      <t>復興鄉</t>
    </r>
    <r>
      <rPr>
        <sz val="9"/>
        <rFont val="Arial Narrow"/>
        <family val="2"/>
      </rPr>
      <t xml:space="preserve"> Fusing Township</t>
    </r>
  </si>
  <si>
    <t>人口</t>
  </si>
  <si>
    <r>
      <t>單位：人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</si>
  <si>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、戶籍動態</t>
    </r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</si>
  <si>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</t>
    </r>
  </si>
  <si>
    <r>
      <t>資料來源：本府民政局</t>
    </r>
    <r>
      <rPr>
        <sz val="8.5"/>
        <rFont val="Arial Narrow"/>
        <family val="2"/>
      </rPr>
      <t>1221-00-01-2</t>
    </r>
    <r>
      <rPr>
        <sz val="8.5"/>
        <rFont val="新細明體"/>
        <family val="1"/>
      </rPr>
      <t>、</t>
    </r>
    <r>
      <rPr>
        <sz val="8.5"/>
        <rFont val="Arial Narrow"/>
        <family val="2"/>
      </rPr>
      <t>1231-01-32-2</t>
    </r>
    <r>
      <rPr>
        <sz val="8.5"/>
        <rFont val="新細明體"/>
        <family val="1"/>
      </rPr>
      <t>、</t>
    </r>
    <r>
      <rPr>
        <sz val="8.5"/>
        <rFont val="Arial Narrow"/>
        <family val="2"/>
      </rPr>
      <t>1232-01-12-2</t>
    </r>
    <r>
      <rPr>
        <sz val="8.5"/>
        <rFont val="新細明體"/>
        <family val="1"/>
      </rPr>
      <t>、</t>
    </r>
    <r>
      <rPr>
        <sz val="8.5"/>
        <rFont val="Arial Narrow"/>
        <family val="2"/>
      </rPr>
      <t>1234-03-08-2</t>
    </r>
    <r>
      <rPr>
        <sz val="8.5"/>
        <rFont val="新細明體"/>
        <family val="1"/>
      </rPr>
      <t>。</t>
    </r>
  </si>
  <si>
    <r>
      <t>說明：</t>
    </r>
    <r>
      <rPr>
        <sz val="8.5"/>
        <rFont val="Arial Narrow"/>
        <family val="2"/>
      </rPr>
      <t>1.94</t>
    </r>
    <r>
      <rPr>
        <sz val="8.5"/>
        <rFont val="華康中黑體"/>
        <family val="3"/>
      </rPr>
      <t>年因行政區域調整，故遷入及遷出人數之</t>
    </r>
    <r>
      <rPr>
        <sz val="8.5"/>
        <rFont val="Arial Narrow"/>
        <family val="2"/>
      </rPr>
      <t>"</t>
    </r>
    <r>
      <rPr>
        <sz val="8.5"/>
        <rFont val="華康中黑體"/>
        <family val="3"/>
      </rPr>
      <t>其他</t>
    </r>
    <r>
      <rPr>
        <sz val="8.5"/>
        <rFont val="Arial Narrow"/>
        <family val="2"/>
      </rPr>
      <t>"</t>
    </r>
    <r>
      <rPr>
        <sz val="8.5"/>
        <rFont val="華康中黑體"/>
        <family val="3"/>
      </rPr>
      <t>遽增。</t>
    </r>
  </si>
  <si>
    <r>
      <t>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</rPr>
      <t>新北市、臺中市、臺南市於</t>
    </r>
    <r>
      <rPr>
        <sz val="8.5"/>
        <rFont val="Arial Narrow"/>
        <family val="2"/>
      </rPr>
      <t>99</t>
    </r>
    <r>
      <rPr>
        <sz val="8.5"/>
        <rFont val="華康中黑體"/>
        <family val="3"/>
      </rPr>
      <t>年</t>
    </r>
    <r>
      <rPr>
        <sz val="8.5"/>
        <rFont val="Arial Narrow"/>
        <family val="2"/>
      </rPr>
      <t>12</t>
    </r>
    <r>
      <rPr>
        <sz val="8.5"/>
        <rFont val="華康中黑體"/>
        <family val="3"/>
      </rPr>
      <t>月</t>
    </r>
    <r>
      <rPr>
        <sz val="8.5"/>
        <rFont val="Arial Narrow"/>
        <family val="2"/>
      </rPr>
      <t>25</t>
    </r>
    <r>
      <rPr>
        <sz val="8.5"/>
        <rFont val="華康中黑體"/>
        <family val="3"/>
      </rPr>
      <t>日改制或合併升格為直轄市；高雄市</t>
    </r>
    <r>
      <rPr>
        <sz val="8.5"/>
        <rFont val="Arial Narrow"/>
        <family val="2"/>
      </rPr>
      <t>99</t>
    </r>
    <r>
      <rPr>
        <sz val="8.5"/>
        <rFont val="華康中黑體"/>
        <family val="3"/>
      </rPr>
      <t>年以前為合併升格前之數值。</t>
    </r>
  </si>
  <si>
    <t>From Foreign Countries</t>
  </si>
  <si>
    <t>自本省
他縣市</t>
  </si>
  <si>
    <t>自本縣
他鄉鎮市</t>
  </si>
  <si>
    <r>
      <rPr>
        <sz val="9"/>
        <rFont val="新細明體"/>
        <family val="1"/>
      </rPr>
      <t>桃園市</t>
    </r>
  </si>
  <si>
    <r>
      <rPr>
        <sz val="9"/>
        <rFont val="新細明體"/>
        <family val="1"/>
      </rPr>
      <t>中壢市</t>
    </r>
  </si>
  <si>
    <r>
      <rPr>
        <sz val="9"/>
        <rFont val="新細明體"/>
        <family val="1"/>
      </rPr>
      <t>平鎮市</t>
    </r>
  </si>
  <si>
    <r>
      <rPr>
        <sz val="9"/>
        <rFont val="新細明體"/>
        <family val="1"/>
      </rPr>
      <t>八德市</t>
    </r>
  </si>
  <si>
    <r>
      <rPr>
        <sz val="9"/>
        <rFont val="新細明體"/>
        <family val="1"/>
      </rPr>
      <t>楊梅市</t>
    </r>
  </si>
  <si>
    <r>
      <rPr>
        <sz val="9"/>
        <rFont val="新細明體"/>
        <family val="1"/>
      </rPr>
      <t>大溪鎮</t>
    </r>
  </si>
  <si>
    <r>
      <rPr>
        <sz val="9"/>
        <rFont val="新細明體"/>
        <family val="1"/>
      </rPr>
      <t>蘆竹鄉</t>
    </r>
  </si>
  <si>
    <r>
      <rPr>
        <sz val="9"/>
        <rFont val="新細明體"/>
        <family val="1"/>
      </rPr>
      <t>大園鄉</t>
    </r>
  </si>
  <si>
    <r>
      <rPr>
        <sz val="9"/>
        <rFont val="新細明體"/>
        <family val="1"/>
      </rPr>
      <t>龜山鄉</t>
    </r>
  </si>
  <si>
    <r>
      <rPr>
        <sz val="9"/>
        <rFont val="新細明體"/>
        <family val="1"/>
      </rPr>
      <t>龍潭鄉</t>
    </r>
  </si>
  <si>
    <r>
      <rPr>
        <sz val="9"/>
        <rFont val="新細明體"/>
        <family val="1"/>
      </rPr>
      <t>新屋鄉</t>
    </r>
  </si>
  <si>
    <r>
      <rPr>
        <sz val="9"/>
        <rFont val="新細明體"/>
        <family val="1"/>
      </rPr>
      <t>觀音鄉</t>
    </r>
  </si>
  <si>
    <r>
      <rPr>
        <sz val="9"/>
        <rFont val="新細明體"/>
        <family val="1"/>
      </rPr>
      <t>復興鄉</t>
    </r>
  </si>
  <si>
    <t>年別及鄉鎮市別</t>
  </si>
  <si>
    <r>
      <t>民國</t>
    </r>
    <r>
      <rPr>
        <sz val="9"/>
        <rFont val="Arial Narrow"/>
        <family val="2"/>
      </rPr>
      <t xml:space="preserve"> 91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</si>
  <si>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</si>
  <si>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</si>
  <si>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</si>
  <si>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</si>
  <si>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</si>
  <si>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 xml:space="preserve"> 97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</si>
  <si>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</si>
  <si>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</si>
  <si>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 xml:space="preserve"> 100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</si>
  <si>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t xml:space="preserve">    </t>
    </r>
    <r>
      <rPr>
        <sz val="9"/>
        <rFont val="華康粗圓體"/>
        <family val="3"/>
      </rPr>
      <t>桃園市</t>
    </r>
    <r>
      <rPr>
        <sz val="9"/>
        <rFont val="Arial Narrow"/>
        <family val="2"/>
      </rPr>
      <t xml:space="preserve"> Taoyuan City</t>
    </r>
  </si>
  <si>
    <r>
      <t xml:space="preserve">    </t>
    </r>
    <r>
      <rPr>
        <sz val="9"/>
        <rFont val="華康粗圓體"/>
        <family val="3"/>
      </rPr>
      <t>中壢市</t>
    </r>
    <r>
      <rPr>
        <sz val="9"/>
        <rFont val="Arial Narrow"/>
        <family val="2"/>
      </rPr>
      <t xml:space="preserve"> Jhongli City</t>
    </r>
  </si>
  <si>
    <r>
      <t xml:space="preserve">    </t>
    </r>
    <r>
      <rPr>
        <sz val="9"/>
        <rFont val="華康粗圓體"/>
        <family val="3"/>
      </rPr>
      <t>平鎮市</t>
    </r>
    <r>
      <rPr>
        <sz val="9"/>
        <rFont val="Arial Narrow"/>
        <family val="2"/>
      </rPr>
      <t xml:space="preserve"> Pingjhen City</t>
    </r>
  </si>
  <si>
    <r>
      <t xml:space="preserve">    </t>
    </r>
    <r>
      <rPr>
        <sz val="9"/>
        <rFont val="華康粗圓體"/>
        <family val="3"/>
      </rPr>
      <t>八德市</t>
    </r>
    <r>
      <rPr>
        <sz val="9"/>
        <rFont val="Arial Narrow"/>
        <family val="2"/>
      </rPr>
      <t xml:space="preserve"> Bade City</t>
    </r>
  </si>
  <si>
    <r>
      <t xml:space="preserve">    </t>
    </r>
    <r>
      <rPr>
        <sz val="9"/>
        <rFont val="華康粗圓體"/>
        <family val="3"/>
      </rPr>
      <t>楊梅市</t>
    </r>
    <r>
      <rPr>
        <sz val="9"/>
        <rFont val="Arial Narrow"/>
        <family val="2"/>
      </rPr>
      <t xml:space="preserve"> Yangmei City</t>
    </r>
  </si>
  <si>
    <r>
      <t xml:space="preserve">    </t>
    </r>
    <r>
      <rPr>
        <sz val="9"/>
        <rFont val="華康粗圓體"/>
        <family val="3"/>
      </rPr>
      <t>大溪鎮</t>
    </r>
    <r>
      <rPr>
        <sz val="9"/>
        <rFont val="Arial Narrow"/>
        <family val="2"/>
      </rPr>
      <t xml:space="preserve"> Dasi Township</t>
    </r>
  </si>
  <si>
    <r>
      <t xml:space="preserve">    </t>
    </r>
    <r>
      <rPr>
        <sz val="9"/>
        <rFont val="華康粗圓體"/>
        <family val="3"/>
      </rPr>
      <t>蘆竹鄉</t>
    </r>
    <r>
      <rPr>
        <sz val="9"/>
        <rFont val="Arial Narrow"/>
        <family val="2"/>
      </rPr>
      <t xml:space="preserve"> Lujhu Township</t>
    </r>
  </si>
  <si>
    <r>
      <t xml:space="preserve">    </t>
    </r>
    <r>
      <rPr>
        <sz val="9"/>
        <rFont val="華康粗圓體"/>
        <family val="3"/>
      </rPr>
      <t>大園鄉</t>
    </r>
    <r>
      <rPr>
        <sz val="9"/>
        <rFont val="Arial Narrow"/>
        <family val="2"/>
      </rPr>
      <t xml:space="preserve"> Dayuan Township</t>
    </r>
  </si>
  <si>
    <r>
      <t xml:space="preserve">    </t>
    </r>
    <r>
      <rPr>
        <sz val="9"/>
        <rFont val="華康粗圓體"/>
        <family val="3"/>
      </rPr>
      <t>龜山鄉</t>
    </r>
    <r>
      <rPr>
        <sz val="9"/>
        <rFont val="Arial Narrow"/>
        <family val="2"/>
      </rPr>
      <t xml:space="preserve"> Gueishan Township</t>
    </r>
  </si>
  <si>
    <r>
      <t xml:space="preserve">    </t>
    </r>
    <r>
      <rPr>
        <sz val="9"/>
        <rFont val="華康粗圓體"/>
        <family val="3"/>
      </rPr>
      <t>龍潭鄉</t>
    </r>
    <r>
      <rPr>
        <sz val="9"/>
        <rFont val="Arial Narrow"/>
        <family val="2"/>
      </rPr>
      <t xml:space="preserve"> Longtan Township</t>
    </r>
  </si>
  <si>
    <r>
      <t xml:space="preserve">    </t>
    </r>
    <r>
      <rPr>
        <sz val="9"/>
        <rFont val="華康粗圓體"/>
        <family val="3"/>
      </rPr>
      <t>新屋鄉</t>
    </r>
    <r>
      <rPr>
        <sz val="9"/>
        <rFont val="Arial Narrow"/>
        <family val="2"/>
      </rPr>
      <t xml:space="preserve"> Sinwu Township</t>
    </r>
  </si>
  <si>
    <r>
      <t xml:space="preserve">    </t>
    </r>
    <r>
      <rPr>
        <sz val="9"/>
        <rFont val="華康粗圓體"/>
        <family val="3"/>
      </rPr>
      <t>觀音鄉</t>
    </r>
    <r>
      <rPr>
        <sz val="9"/>
        <rFont val="Arial Narrow"/>
        <family val="2"/>
      </rPr>
      <t xml:space="preserve"> Guanyin Township</t>
    </r>
  </si>
  <si>
    <r>
      <t>說明：粗出生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中黑體"/>
        <family val="3"/>
      </rPr>
      <t>死亡</t>
    </r>
    <r>
      <rPr>
        <sz val="9"/>
        <color indexed="8"/>
        <rFont val="Arial Narrow"/>
        <family val="2"/>
      </rPr>
      <t>)</t>
    </r>
    <r>
      <rPr>
        <sz val="9"/>
        <color indexed="8"/>
        <rFont val="華康中黑體"/>
        <family val="3"/>
      </rPr>
      <t>率</t>
    </r>
    <r>
      <rPr>
        <sz val="9"/>
        <color indexed="8"/>
        <rFont val="Arial Narrow"/>
        <family val="2"/>
      </rPr>
      <t>=</t>
    </r>
    <r>
      <rPr>
        <sz val="9"/>
        <color indexed="8"/>
        <rFont val="華康中黑體"/>
        <family val="3"/>
      </rPr>
      <t>出生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中黑體"/>
        <family val="3"/>
      </rPr>
      <t>死亡</t>
    </r>
    <r>
      <rPr>
        <sz val="9"/>
        <color indexed="8"/>
        <rFont val="Arial Narrow"/>
        <family val="2"/>
      </rPr>
      <t>)</t>
    </r>
    <r>
      <rPr>
        <sz val="9"/>
        <color indexed="8"/>
        <rFont val="華康中黑體"/>
        <family val="3"/>
      </rPr>
      <t>人口數</t>
    </r>
    <r>
      <rPr>
        <sz val="9"/>
        <color indexed="8"/>
        <rFont val="Arial Narrow"/>
        <family val="2"/>
      </rPr>
      <t>/</t>
    </r>
    <r>
      <rPr>
        <sz val="9"/>
        <color indexed="8"/>
        <rFont val="華康中黑體"/>
        <family val="3"/>
      </rPr>
      <t>年中人口數</t>
    </r>
    <r>
      <rPr>
        <sz val="9"/>
        <color indexed="8"/>
        <rFont val="Arial Narrow"/>
        <family val="2"/>
      </rPr>
      <t>*1000</t>
    </r>
  </si>
  <si>
    <t xml:space="preserve">Note : Crude Birth (Death) Rate = Number of Births (Deaths) / Mid-year Population x 1000 </t>
  </si>
  <si>
    <r>
      <t>　　　結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中黑體"/>
        <family val="3"/>
      </rPr>
      <t>離</t>
    </r>
    <r>
      <rPr>
        <sz val="9"/>
        <color indexed="8"/>
        <rFont val="Arial Narrow"/>
        <family val="2"/>
      </rPr>
      <t>)</t>
    </r>
    <r>
      <rPr>
        <sz val="9"/>
        <color indexed="8"/>
        <rFont val="華康中黑體"/>
        <family val="3"/>
      </rPr>
      <t>婚率</t>
    </r>
    <r>
      <rPr>
        <sz val="9"/>
        <color indexed="8"/>
        <rFont val="Arial Narrow"/>
        <family val="2"/>
      </rPr>
      <t>=</t>
    </r>
    <r>
      <rPr>
        <sz val="9"/>
        <color indexed="8"/>
        <rFont val="華康中黑體"/>
        <family val="3"/>
      </rPr>
      <t>結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中黑體"/>
        <family val="3"/>
      </rPr>
      <t>離</t>
    </r>
    <r>
      <rPr>
        <sz val="9"/>
        <color indexed="8"/>
        <rFont val="Arial Narrow"/>
        <family val="2"/>
      </rPr>
      <t>)</t>
    </r>
    <r>
      <rPr>
        <sz val="9"/>
        <color indexed="8"/>
        <rFont val="華康中黑體"/>
        <family val="3"/>
      </rPr>
      <t>婚對數</t>
    </r>
    <r>
      <rPr>
        <sz val="9"/>
        <color indexed="8"/>
        <rFont val="Arial Narrow"/>
        <family val="2"/>
      </rPr>
      <t>/</t>
    </r>
    <r>
      <rPr>
        <sz val="9"/>
        <color indexed="8"/>
        <rFont val="華康中黑體"/>
        <family val="3"/>
      </rPr>
      <t>年中人口數</t>
    </r>
    <r>
      <rPr>
        <sz val="9"/>
        <color indexed="8"/>
        <rFont val="Arial Narrow"/>
        <family val="2"/>
      </rPr>
      <t>*1000</t>
    </r>
  </si>
  <si>
    <t xml:space="preserve">           Marriage (Divorce) Rate = Number of Couples Married (Divorced) / Mid-year Population x 1000 </t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</si>
  <si>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、戶籍動態（續）</t>
    </r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</si>
  <si>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 (Cont.)</t>
    </r>
  </si>
  <si>
    <r>
      <t xml:space="preserve">同一鄉鎮市內之
住址變更人數
</t>
    </r>
    <r>
      <rPr>
        <sz val="9"/>
        <rFont val="Arial Narrow"/>
        <family val="2"/>
      </rPr>
      <t>Change Residence</t>
    </r>
  </si>
  <si>
    <r>
      <t>出生人數</t>
    </r>
    <r>
      <rPr>
        <sz val="9"/>
        <rFont val="Arial Narrow"/>
        <family val="2"/>
      </rPr>
      <t xml:space="preserve">  Num. of  Birth</t>
    </r>
  </si>
  <si>
    <t>粗出生率</t>
  </si>
  <si>
    <r>
      <t>死亡人數</t>
    </r>
    <r>
      <rPr>
        <sz val="9"/>
        <rFont val="Arial Narrow"/>
        <family val="2"/>
      </rPr>
      <t xml:space="preserve">  Num. of  Death</t>
    </r>
  </si>
  <si>
    <r>
      <t>結婚</t>
    </r>
    <r>
      <rPr>
        <sz val="9"/>
        <rFont val="Arial Narrow"/>
        <family val="2"/>
      </rPr>
      <t xml:space="preserve"> Married</t>
    </r>
  </si>
  <si>
    <r>
      <t>離婚</t>
    </r>
    <r>
      <rPr>
        <sz val="9"/>
        <rFont val="Arial Narrow"/>
        <family val="2"/>
      </rPr>
      <t xml:space="preserve"> Divorce</t>
    </r>
  </si>
  <si>
    <r>
      <t>遷　　出　　人　　數　　</t>
    </r>
    <r>
      <rPr>
        <sz val="9"/>
        <rFont val="Arial Narrow"/>
        <family val="2"/>
      </rPr>
      <t>Num. of Emigrants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</si>
  <si>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</si>
  <si>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</si>
  <si>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</si>
  <si>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</si>
  <si>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9"/>
        <rFont val="華康粗圓體"/>
        <family val="3"/>
      </rPr>
      <t>歲
以上</t>
    </r>
  </si>
  <si>
    <t>Gender</t>
  </si>
  <si>
    <t>All Years</t>
  </si>
  <si>
    <t xml:space="preserve"> 0-4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</si>
  <si>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</si>
  <si>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</si>
  <si>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</si>
  <si>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</si>
  <si>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</si>
  <si>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</si>
  <si>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</si>
  <si>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</si>
  <si>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</si>
  <si>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</si>
  <si>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</si>
  <si>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</si>
  <si>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</si>
  <si>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</si>
  <si>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</si>
  <si>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</si>
  <si>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</si>
  <si>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</si>
  <si>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</si>
  <si>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r>
      <t>資料來源：本府民政局</t>
    </r>
    <r>
      <rPr>
        <sz val="9"/>
        <rFont val="Arial Narrow"/>
        <family val="2"/>
      </rPr>
      <t>1222-01-02-2</t>
    </r>
    <r>
      <rPr>
        <sz val="9"/>
        <rFont val="華康中黑體"/>
        <family val="3"/>
      </rPr>
      <t>。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</si>
  <si>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</t>
    </r>
    <r>
      <rPr>
        <sz val="12"/>
        <rFont val="Arial"/>
        <family val="2"/>
      </rPr>
      <t xml:space="preserve"> </t>
    </r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</si>
  <si>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</t>
    </r>
  </si>
  <si>
    <t>End of Year &amp; District</t>
  </si>
  <si>
    <t>100 Years of Age and Over</t>
  </si>
  <si>
    <t>Population</t>
  </si>
  <si>
    <t>Unit : Person</t>
  </si>
  <si>
    <t>年底別及
鄉鎮市別</t>
  </si>
  <si>
    <t>性別</t>
  </si>
  <si>
    <t>全年齡</t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</si>
  <si>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</si>
  <si>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</si>
  <si>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</si>
  <si>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</si>
  <si>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</si>
  <si>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</si>
  <si>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</si>
  <si>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</si>
  <si>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</si>
  <si>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</si>
  <si>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</si>
  <si>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</si>
  <si>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</si>
  <si>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</si>
  <si>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</si>
  <si>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</si>
  <si>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</si>
  <si>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</si>
  <si>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</si>
  <si>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</si>
  <si>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9"/>
        <rFont val="華康粗圓體"/>
        <family val="3"/>
      </rPr>
      <t>歲
以上</t>
    </r>
  </si>
  <si>
    <t>Note : Old Age Population Dependency Ratio = Year-end Population of Persons Aged 65 or Older / Year-end Population of Persons Aged 15 to 64 x 100</t>
  </si>
  <si>
    <r>
      <t>單位：人；</t>
    </r>
    <r>
      <rPr>
        <sz val="9"/>
        <rFont val="Arial Narrow"/>
        <family val="2"/>
      </rPr>
      <t>%
Unit : Person,%</t>
    </r>
  </si>
  <si>
    <r>
      <t xml:space="preserve">年底別及鄉鎮市別
</t>
    </r>
    <r>
      <rPr>
        <sz val="9"/>
        <rFont val="Arial Narrow"/>
        <family val="2"/>
      </rPr>
      <t>End of Year &amp; District</t>
    </r>
  </si>
  <si>
    <r>
      <t>年　齡　分　配　</t>
    </r>
    <r>
      <rPr>
        <sz val="9"/>
        <rFont val="Arial Narrow"/>
        <family val="2"/>
      </rPr>
      <t>Age Distribution</t>
    </r>
  </si>
  <si>
    <r>
      <t xml:space="preserve">扶養比
</t>
    </r>
    <r>
      <rPr>
        <sz val="9"/>
        <rFont val="Arial Narrow"/>
        <family val="2"/>
      </rPr>
      <t>Dependency  Ratio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</si>
  <si>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 Years</t>
    </r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</si>
  <si>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 Years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</si>
  <si>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</si>
  <si>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</si>
  <si>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</si>
  <si>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</si>
  <si>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</si>
  <si>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</si>
  <si>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</si>
  <si>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</si>
  <si>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說明：扶老比</t>
    </r>
    <r>
      <rPr>
        <sz val="7.5"/>
        <color indexed="8"/>
        <rFont val="Arial Narrow"/>
        <family val="2"/>
      </rPr>
      <t>=65</t>
    </r>
    <r>
      <rPr>
        <sz val="7.5"/>
        <color indexed="8"/>
        <rFont val="華康中黑體"/>
        <family val="3"/>
      </rPr>
      <t>歲以上年底人口數</t>
    </r>
    <r>
      <rPr>
        <sz val="7.5"/>
        <color indexed="8"/>
        <rFont val="Arial Narrow"/>
        <family val="2"/>
      </rPr>
      <t>/15-64</t>
    </r>
    <r>
      <rPr>
        <sz val="7.5"/>
        <color indexed="8"/>
        <rFont val="華康中黑體"/>
        <family val="3"/>
      </rPr>
      <t>歲年底人口數</t>
    </r>
    <r>
      <rPr>
        <sz val="7.5"/>
        <color indexed="8"/>
        <rFont val="Arial Narrow"/>
        <family val="2"/>
      </rPr>
      <t>*100</t>
    </r>
  </si>
  <si>
    <r>
      <t>　　　扶幼比</t>
    </r>
    <r>
      <rPr>
        <sz val="7.5"/>
        <color indexed="8"/>
        <rFont val="Arial Narrow"/>
        <family val="2"/>
      </rPr>
      <t>=0-14</t>
    </r>
    <r>
      <rPr>
        <sz val="7.5"/>
        <color indexed="8"/>
        <rFont val="華康中黑體"/>
        <family val="3"/>
      </rPr>
      <t>歲年底人口數</t>
    </r>
    <r>
      <rPr>
        <sz val="7.5"/>
        <color indexed="8"/>
        <rFont val="Arial Narrow"/>
        <family val="2"/>
      </rPr>
      <t>/15-64</t>
    </r>
    <r>
      <rPr>
        <sz val="7.5"/>
        <color indexed="8"/>
        <rFont val="華康中黑體"/>
        <family val="3"/>
      </rPr>
      <t>歲年底人口數</t>
    </r>
    <r>
      <rPr>
        <sz val="7.5"/>
        <color indexed="8"/>
        <rFont val="Arial Narrow"/>
        <family val="2"/>
      </rPr>
      <t>*100</t>
    </r>
  </si>
  <si>
    <r>
      <t>　　　扶養比</t>
    </r>
    <r>
      <rPr>
        <sz val="7.5"/>
        <color indexed="8"/>
        <rFont val="Arial Narrow"/>
        <family val="2"/>
      </rPr>
      <t>=(0-14</t>
    </r>
    <r>
      <rPr>
        <sz val="7.5"/>
        <color indexed="8"/>
        <rFont val="華康中黑體"/>
        <family val="3"/>
      </rPr>
      <t>歲</t>
    </r>
    <r>
      <rPr>
        <sz val="7.5"/>
        <color indexed="8"/>
        <rFont val="Arial Narrow"/>
        <family val="2"/>
      </rPr>
      <t>+65</t>
    </r>
    <r>
      <rPr>
        <sz val="7.5"/>
        <color indexed="8"/>
        <rFont val="華康中黑體"/>
        <family val="3"/>
      </rPr>
      <t>歲以上</t>
    </r>
    <r>
      <rPr>
        <sz val="7.5"/>
        <color indexed="8"/>
        <rFont val="Arial Narrow"/>
        <family val="2"/>
      </rPr>
      <t>)</t>
    </r>
    <r>
      <rPr>
        <sz val="7.5"/>
        <color indexed="8"/>
        <rFont val="華康中黑體"/>
        <family val="3"/>
      </rPr>
      <t>年底人口數</t>
    </r>
    <r>
      <rPr>
        <sz val="7.5"/>
        <color indexed="8"/>
        <rFont val="Arial Narrow"/>
        <family val="2"/>
      </rPr>
      <t>/15-64</t>
    </r>
    <r>
      <rPr>
        <sz val="7.5"/>
        <color indexed="8"/>
        <rFont val="華康中黑體"/>
        <family val="3"/>
      </rPr>
      <t>歲年底人口數</t>
    </r>
    <r>
      <rPr>
        <sz val="7.5"/>
        <color indexed="8"/>
        <rFont val="Arial Narrow"/>
        <family val="2"/>
      </rPr>
      <t>*100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</si>
  <si>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</si>
  <si>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</si>
  <si>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 xml:space="preserve">扶老比
</t>
    </r>
    <r>
      <rPr>
        <sz val="8"/>
        <rFont val="Arial Narrow"/>
        <family val="2"/>
      </rPr>
      <t>Old Age Population Dependency Ratio</t>
    </r>
  </si>
  <si>
    <r>
      <t xml:space="preserve">扶幼比
</t>
    </r>
    <r>
      <rPr>
        <sz val="8"/>
        <rFont val="Arial Narrow"/>
        <family val="2"/>
      </rPr>
      <t>Young Age Population Dependency Ratio</t>
    </r>
  </si>
  <si>
    <r>
      <t>65</t>
    </r>
    <r>
      <rPr>
        <sz val="9"/>
        <rFont val="華康粗圓體"/>
        <family val="3"/>
      </rPr>
      <t xml:space="preserve">歲以上
</t>
    </r>
    <r>
      <rPr>
        <sz val="8.5"/>
        <rFont val="Arial Narrow"/>
        <family val="2"/>
      </rPr>
      <t>65 Years of Age and Over</t>
    </r>
  </si>
  <si>
    <t xml:space="preserve"> Self-taught</t>
  </si>
  <si>
    <r>
      <t>2-4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of Population Aged 15 and Over - By Age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</si>
  <si>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</si>
  <si>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</si>
  <si>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</si>
  <si>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</si>
  <si>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</si>
  <si>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</si>
  <si>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</si>
  <si>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</si>
  <si>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2010</t>
    </r>
  </si>
  <si>
    <r>
      <t>計</t>
    </r>
    <r>
      <rPr>
        <sz val="7.5"/>
        <color indexed="8"/>
        <rFont val="Arial Narrow"/>
        <family val="2"/>
      </rPr>
      <t>Total</t>
    </r>
  </si>
  <si>
    <r>
      <t>男</t>
    </r>
    <r>
      <rPr>
        <sz val="7.5"/>
        <color indexed="8"/>
        <rFont val="Arial Narrow"/>
        <family val="2"/>
      </rPr>
      <t>Male</t>
    </r>
  </si>
  <si>
    <r>
      <t>女</t>
    </r>
    <r>
      <rPr>
        <sz val="7.5"/>
        <color indexed="8"/>
        <rFont val="Arial Narrow"/>
        <family val="2"/>
      </rPr>
      <t>Female</t>
    </r>
  </si>
  <si>
    <t>識字者</t>
  </si>
  <si>
    <t>Literate</t>
  </si>
  <si>
    <t>不識
字者</t>
  </si>
  <si>
    <t>年底別</t>
  </si>
  <si>
    <t>性別</t>
  </si>
  <si>
    <t>總　計</t>
  </si>
  <si>
    <t>合　計</t>
  </si>
  <si>
    <r>
      <t xml:space="preserve">研究所
</t>
    </r>
    <r>
      <rPr>
        <sz val="7.5"/>
        <rFont val="Arial Narrow"/>
        <family val="2"/>
      </rPr>
      <t>Graduate  School</t>
    </r>
  </si>
  <si>
    <r>
      <t xml:space="preserve">大學
</t>
    </r>
    <r>
      <rPr>
        <sz val="7.5"/>
        <rFont val="Arial Narrow"/>
        <family val="2"/>
      </rPr>
      <t>University</t>
    </r>
  </si>
  <si>
    <t>專　　科</t>
  </si>
  <si>
    <t>Junior College</t>
  </si>
  <si>
    <r>
      <t xml:space="preserve">高　　　中
</t>
    </r>
    <r>
      <rPr>
        <sz val="7.5"/>
        <rFont val="Arial Narrow"/>
        <family val="2"/>
      </rPr>
      <t>Senior  High School</t>
    </r>
  </si>
  <si>
    <r>
      <t xml:space="preserve">高　　　職
</t>
    </r>
    <r>
      <rPr>
        <sz val="7.5"/>
        <rFont val="Arial Narrow"/>
        <family val="2"/>
      </rPr>
      <t xml:space="preserve"> Senior Vocational School</t>
    </r>
  </si>
  <si>
    <r>
      <t xml:space="preserve">國　　中
</t>
    </r>
    <r>
      <rPr>
        <sz val="7.5"/>
        <rFont val="Arial Narrow"/>
        <family val="2"/>
      </rPr>
      <t>Junior High  School</t>
    </r>
  </si>
  <si>
    <r>
      <t xml:space="preserve">初　　　職
</t>
    </r>
    <r>
      <rPr>
        <sz val="7.5"/>
        <rFont val="Arial Narrow"/>
        <family val="2"/>
      </rPr>
      <t>Junior Vocational School</t>
    </r>
  </si>
  <si>
    <t>自修</t>
  </si>
  <si>
    <r>
      <t xml:space="preserve">二、三年制
</t>
    </r>
    <r>
      <rPr>
        <sz val="7.5"/>
        <rFont val="Arial Narrow"/>
        <family val="2"/>
      </rPr>
      <t>2,3 Years System</t>
    </r>
  </si>
  <si>
    <t>五年制</t>
  </si>
  <si>
    <t>End of Year</t>
  </si>
  <si>
    <t>Gender</t>
  </si>
  <si>
    <r>
      <t xml:space="preserve">前三年
</t>
    </r>
    <r>
      <rPr>
        <sz val="7.5"/>
        <rFont val="Arial Narrow"/>
        <family val="2"/>
      </rPr>
      <t>First 3 Years</t>
    </r>
  </si>
  <si>
    <r>
      <t>資料來源：本府民政局</t>
    </r>
    <r>
      <rPr>
        <sz val="8.5"/>
        <rFont val="Arial Narrow"/>
        <family val="2"/>
      </rPr>
      <t>1222-01-04-2</t>
    </r>
    <r>
      <rPr>
        <sz val="8.5"/>
        <rFont val="華康中黑體"/>
        <family val="3"/>
      </rPr>
      <t>。</t>
    </r>
  </si>
  <si>
    <r>
      <t xml:space="preserve">國　　　小
</t>
    </r>
    <r>
      <rPr>
        <sz val="7.5"/>
        <rFont val="Arial Narrow"/>
        <family val="2"/>
      </rPr>
      <t>Elementary School</t>
    </r>
  </si>
  <si>
    <t>Population</t>
  </si>
  <si>
    <t>Unit : Person</t>
  </si>
  <si>
    <t>End of Year &amp;
 Range of Age</t>
  </si>
  <si>
    <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2011</t>
    </r>
  </si>
  <si>
    <t>Literate</t>
  </si>
  <si>
    <t>年底別及
年齡組別</t>
  </si>
  <si>
    <r>
      <t xml:space="preserve">研究所
</t>
    </r>
    <r>
      <rPr>
        <sz val="7.5"/>
        <rFont val="Arial Narrow"/>
        <family val="2"/>
      </rPr>
      <t>Graduate  School</t>
    </r>
  </si>
  <si>
    <r>
      <t xml:space="preserve">大學
</t>
    </r>
    <r>
      <rPr>
        <sz val="7.5"/>
        <rFont val="Arial Narrow"/>
        <family val="2"/>
      </rPr>
      <t>University</t>
    </r>
  </si>
  <si>
    <t>專　　科</t>
  </si>
  <si>
    <t>Junior College</t>
  </si>
  <si>
    <r>
      <t xml:space="preserve">高　　　中
</t>
    </r>
    <r>
      <rPr>
        <sz val="7.5"/>
        <rFont val="Arial Narrow"/>
        <family val="2"/>
      </rPr>
      <t>Senior  High School</t>
    </r>
  </si>
  <si>
    <r>
      <t xml:space="preserve">高　　　職
</t>
    </r>
    <r>
      <rPr>
        <sz val="7.5"/>
        <rFont val="Arial Narrow"/>
        <family val="2"/>
      </rPr>
      <t xml:space="preserve"> Senior Vocational School</t>
    </r>
  </si>
  <si>
    <r>
      <t xml:space="preserve">國　　中
</t>
    </r>
    <r>
      <rPr>
        <sz val="7.5"/>
        <rFont val="Arial Narrow"/>
        <family val="2"/>
      </rPr>
      <t>Junior High  School</t>
    </r>
  </si>
  <si>
    <r>
      <t xml:space="preserve">初　　　職
</t>
    </r>
    <r>
      <rPr>
        <sz val="7.5"/>
        <rFont val="Arial Narrow"/>
        <family val="2"/>
      </rPr>
      <t>Junior Vocational School</t>
    </r>
  </si>
  <si>
    <r>
      <t xml:space="preserve">二、三年制
</t>
    </r>
    <r>
      <rPr>
        <sz val="7.5"/>
        <rFont val="Arial Narrow"/>
        <family val="2"/>
      </rPr>
      <t>2,3 Years System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</si>
  <si>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of Population Aged 15 and Over - By Age (Cont.)</t>
    </r>
  </si>
  <si>
    <r>
      <t>資料來源：本府民政局</t>
    </r>
    <r>
      <rPr>
        <sz val="8.5"/>
        <rFont val="Arial Narrow"/>
        <family val="2"/>
      </rPr>
      <t>1222-01-04-2</t>
    </r>
    <r>
      <rPr>
        <sz val="8.5"/>
        <rFont val="華康中黑體"/>
        <family val="3"/>
      </rPr>
      <t>。</t>
    </r>
  </si>
  <si>
    <t>年底別及
鄉鎮市別</t>
  </si>
  <si>
    <r>
      <t xml:space="preserve">大學
</t>
    </r>
    <r>
      <rPr>
        <sz val="7"/>
        <rFont val="Arial Narrow"/>
        <family val="2"/>
      </rPr>
      <t>University</t>
    </r>
  </si>
  <si>
    <r>
      <t xml:space="preserve">國　　　小
</t>
    </r>
    <r>
      <rPr>
        <sz val="7"/>
        <rFont val="Arial Narrow"/>
        <family val="2"/>
      </rPr>
      <t>Elementary School</t>
    </r>
  </si>
  <si>
    <t>End of Year &amp;
 Range of Age</t>
  </si>
  <si>
    <t>肄業</t>
  </si>
  <si>
    <r>
      <t xml:space="preserve">前三年
</t>
    </r>
    <r>
      <rPr>
        <sz val="7"/>
        <rFont val="Arial Narrow"/>
        <family val="2"/>
      </rPr>
      <t>First 3 Years</t>
    </r>
  </si>
  <si>
    <t>肄業</t>
  </si>
  <si>
    <t>Self-taught</t>
  </si>
  <si>
    <t>Gender</t>
  </si>
  <si>
    <t>Grand Total</t>
  </si>
  <si>
    <t>Total</t>
  </si>
  <si>
    <t>Graduated</t>
  </si>
  <si>
    <t>Attended</t>
  </si>
  <si>
    <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2011</t>
    </r>
  </si>
  <si>
    <r>
      <t>計</t>
    </r>
    <r>
      <rPr>
        <sz val="7"/>
        <color indexed="8"/>
        <rFont val="Arial Narrow"/>
        <family val="2"/>
      </rPr>
      <t>Total</t>
    </r>
  </si>
  <si>
    <r>
      <t>女</t>
    </r>
    <r>
      <rPr>
        <sz val="7"/>
        <color indexed="8"/>
        <rFont val="Arial Narrow"/>
        <family val="2"/>
      </rPr>
      <t>Female</t>
    </r>
  </si>
  <si>
    <r>
      <t xml:space="preserve">    </t>
    </r>
    <r>
      <rPr>
        <sz val="7.5"/>
        <rFont val="華康粗圓體"/>
        <family val="3"/>
      </rPr>
      <t xml:space="preserve">桃園市
</t>
    </r>
    <r>
      <rPr>
        <sz val="7.5"/>
        <rFont val="Arial Narrow"/>
        <family val="2"/>
      </rPr>
      <t xml:space="preserve">    Taoyuan City</t>
    </r>
  </si>
  <si>
    <r>
      <t xml:space="preserve">    </t>
    </r>
    <r>
      <rPr>
        <sz val="7.5"/>
        <rFont val="華康粗圓體"/>
        <family val="3"/>
      </rPr>
      <t xml:space="preserve">中壢市
</t>
    </r>
    <r>
      <rPr>
        <sz val="7.5"/>
        <rFont val="Arial Narrow"/>
        <family val="2"/>
      </rPr>
      <t xml:space="preserve">    Jhongli City</t>
    </r>
  </si>
  <si>
    <r>
      <t xml:space="preserve">    </t>
    </r>
    <r>
      <rPr>
        <sz val="7.5"/>
        <rFont val="華康粗圓體"/>
        <family val="3"/>
      </rPr>
      <t xml:space="preserve">平鎮市
</t>
    </r>
    <r>
      <rPr>
        <sz val="7.5"/>
        <rFont val="Arial Narrow"/>
        <family val="2"/>
      </rPr>
      <t xml:space="preserve">    Pingjhen City</t>
    </r>
  </si>
  <si>
    <r>
      <t xml:space="preserve">    </t>
    </r>
    <r>
      <rPr>
        <sz val="7.5"/>
        <rFont val="華康粗圓體"/>
        <family val="3"/>
      </rPr>
      <t xml:space="preserve">八德市
</t>
    </r>
    <r>
      <rPr>
        <sz val="7.5"/>
        <rFont val="Arial Narrow"/>
        <family val="2"/>
      </rPr>
      <t xml:space="preserve">    Bade City</t>
    </r>
  </si>
  <si>
    <r>
      <t xml:space="preserve">    </t>
    </r>
    <r>
      <rPr>
        <sz val="7.5"/>
        <rFont val="華康粗圓體"/>
        <family val="3"/>
      </rPr>
      <t xml:space="preserve">楊梅市
</t>
    </r>
    <r>
      <rPr>
        <sz val="7.5"/>
        <rFont val="Arial Narrow"/>
        <family val="2"/>
      </rPr>
      <t xml:space="preserve">    Yangmei City</t>
    </r>
  </si>
  <si>
    <r>
      <t xml:space="preserve">    </t>
    </r>
    <r>
      <rPr>
        <sz val="7.5"/>
        <rFont val="華康粗圓體"/>
        <family val="3"/>
      </rPr>
      <t xml:space="preserve">大溪鎮
</t>
    </r>
    <r>
      <rPr>
        <sz val="7.5"/>
        <rFont val="Arial Narrow"/>
        <family val="2"/>
      </rPr>
      <t xml:space="preserve">    Dasi Township</t>
    </r>
  </si>
  <si>
    <r>
      <t xml:space="preserve">    </t>
    </r>
    <r>
      <rPr>
        <sz val="7.5"/>
        <rFont val="華康粗圓體"/>
        <family val="3"/>
      </rPr>
      <t xml:space="preserve">蘆竹鄉
</t>
    </r>
    <r>
      <rPr>
        <sz val="7.5"/>
        <rFont val="Arial Narrow"/>
        <family val="2"/>
      </rPr>
      <t xml:space="preserve">    Lujhu Township</t>
    </r>
  </si>
  <si>
    <r>
      <t xml:space="preserve">    </t>
    </r>
    <r>
      <rPr>
        <sz val="7.5"/>
        <rFont val="華康粗圓體"/>
        <family val="3"/>
      </rPr>
      <t xml:space="preserve">大園鄉
</t>
    </r>
    <r>
      <rPr>
        <sz val="7.5"/>
        <rFont val="Arial Narrow"/>
        <family val="2"/>
      </rPr>
      <t xml:space="preserve">    Dayuan Township</t>
    </r>
  </si>
  <si>
    <r>
      <t xml:space="preserve">    </t>
    </r>
    <r>
      <rPr>
        <sz val="7.5"/>
        <rFont val="華康粗圓體"/>
        <family val="3"/>
      </rPr>
      <t xml:space="preserve">龜山鄉
</t>
    </r>
    <r>
      <rPr>
        <sz val="7.5"/>
        <rFont val="Arial Narrow"/>
        <family val="2"/>
      </rPr>
      <t xml:space="preserve">    Gueishan Township</t>
    </r>
  </si>
  <si>
    <r>
      <t xml:space="preserve">    </t>
    </r>
    <r>
      <rPr>
        <sz val="7.5"/>
        <rFont val="華康粗圓體"/>
        <family val="3"/>
      </rPr>
      <t xml:space="preserve">龍潭鄉
</t>
    </r>
    <r>
      <rPr>
        <sz val="7.5"/>
        <rFont val="Arial Narrow"/>
        <family val="2"/>
      </rPr>
      <t xml:space="preserve">    Longtan Township</t>
    </r>
  </si>
  <si>
    <r>
      <t xml:space="preserve">    </t>
    </r>
    <r>
      <rPr>
        <sz val="7.5"/>
        <rFont val="華康粗圓體"/>
        <family val="3"/>
      </rPr>
      <t xml:space="preserve">新屋鄉
</t>
    </r>
    <r>
      <rPr>
        <sz val="7.5"/>
        <rFont val="Arial Narrow"/>
        <family val="2"/>
      </rPr>
      <t xml:space="preserve">    Sinwu Township</t>
    </r>
  </si>
  <si>
    <r>
      <t xml:space="preserve">    </t>
    </r>
    <r>
      <rPr>
        <sz val="7.5"/>
        <rFont val="華康粗圓體"/>
        <family val="3"/>
      </rPr>
      <t xml:space="preserve">觀音鄉
</t>
    </r>
    <r>
      <rPr>
        <sz val="7.5"/>
        <rFont val="Arial Narrow"/>
        <family val="2"/>
      </rPr>
      <t xml:space="preserve">    Guanyin Township</t>
    </r>
  </si>
  <si>
    <r>
      <t xml:space="preserve">    </t>
    </r>
    <r>
      <rPr>
        <sz val="7.5"/>
        <rFont val="華康粗圓體"/>
        <family val="3"/>
      </rPr>
      <t xml:space="preserve">復興鄉
</t>
    </r>
    <r>
      <rPr>
        <sz val="7.5"/>
        <rFont val="Arial Narrow"/>
        <family val="2"/>
      </rPr>
      <t xml:space="preserve">    Fusing Township</t>
    </r>
  </si>
  <si>
    <r>
      <t>資料來源：本府民政局</t>
    </r>
    <r>
      <rPr>
        <sz val="7.5"/>
        <rFont val="Arial Narrow"/>
        <family val="2"/>
      </rPr>
      <t>1222-01-04-2</t>
    </r>
    <r>
      <rPr>
        <sz val="7.5"/>
        <rFont val="華康中黑體"/>
        <family val="3"/>
      </rPr>
      <t>。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</si>
  <si>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</si>
  <si>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表</t>
    </r>
    <r>
      <rPr>
        <sz val="12"/>
        <rFont val="Arial"/>
        <family val="2"/>
      </rPr>
      <t>2-6</t>
    </r>
    <r>
      <rPr>
        <sz val="12"/>
        <rFont val="華康粗圓體"/>
        <family val="3"/>
      </rPr>
      <t>、現住人口之婚姻狀況－按年齡別分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</si>
  <si>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 By Age</t>
    </r>
  </si>
  <si>
    <t>年底別及年齡組別</t>
  </si>
  <si>
    <t>偶</t>
  </si>
  <si>
    <t>Married</t>
  </si>
  <si>
    <t>End of Year &amp; Range of Age</t>
  </si>
  <si>
    <r>
      <t>總　　　計　</t>
    </r>
    <r>
      <rPr>
        <sz val="9"/>
        <rFont val="Arial Narrow"/>
        <family val="2"/>
      </rPr>
      <t>Grand Total</t>
    </r>
  </si>
  <si>
    <r>
      <t>未　　婚　</t>
    </r>
    <r>
      <rPr>
        <sz val="9"/>
        <rFont val="Arial Narrow"/>
        <family val="2"/>
      </rPr>
      <t>Single</t>
    </r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</si>
  <si>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</si>
  <si>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</si>
  <si>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</si>
  <si>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</si>
  <si>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</si>
  <si>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</si>
  <si>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</si>
  <si>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</si>
  <si>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</si>
  <si>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</si>
  <si>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資料來源：本府民政局</t>
    </r>
    <r>
      <rPr>
        <sz val="9"/>
        <rFont val="Arial Narrow"/>
        <family val="2"/>
      </rPr>
      <t>1222-01-03-2</t>
    </r>
    <r>
      <rPr>
        <sz val="9"/>
        <rFont val="華康中黑體"/>
        <family val="3"/>
      </rPr>
      <t>。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</si>
  <si>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</si>
  <si>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</si>
  <si>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 xml:space="preserve">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 xml:space="preserve"> 15 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Under 15 Years</t>
    </r>
  </si>
  <si>
    <r>
      <t>桃園市</t>
    </r>
    <r>
      <rPr>
        <sz val="9"/>
        <rFont val="Arial Narrow"/>
        <family val="2"/>
      </rPr>
      <t xml:space="preserve">  Taoyuan City</t>
    </r>
  </si>
  <si>
    <r>
      <t>中壢市</t>
    </r>
    <r>
      <rPr>
        <sz val="9"/>
        <rFont val="Arial Narrow"/>
        <family val="2"/>
      </rPr>
      <t xml:space="preserve">  Jhongli City</t>
    </r>
  </si>
  <si>
    <r>
      <t>平鎮市</t>
    </r>
    <r>
      <rPr>
        <sz val="9"/>
        <rFont val="Arial Narrow"/>
        <family val="2"/>
      </rPr>
      <t xml:space="preserve">  Pingjhen City</t>
    </r>
  </si>
  <si>
    <r>
      <t>八德市</t>
    </r>
    <r>
      <rPr>
        <sz val="9"/>
        <rFont val="Arial Narrow"/>
        <family val="2"/>
      </rPr>
      <t xml:space="preserve">  Bade City</t>
    </r>
  </si>
  <si>
    <r>
      <t>楊梅市</t>
    </r>
    <r>
      <rPr>
        <sz val="9"/>
        <rFont val="Arial Narrow"/>
        <family val="2"/>
      </rPr>
      <t xml:space="preserve">  Yangmei City</t>
    </r>
  </si>
  <si>
    <r>
      <t>大溪鎮</t>
    </r>
    <r>
      <rPr>
        <sz val="9"/>
        <rFont val="Arial Narrow"/>
        <family val="2"/>
      </rPr>
      <t xml:space="preserve">  Dasi Township</t>
    </r>
  </si>
  <si>
    <r>
      <t>蘆竹鄉</t>
    </r>
    <r>
      <rPr>
        <sz val="9"/>
        <rFont val="Arial Narrow"/>
        <family val="2"/>
      </rPr>
      <t xml:space="preserve">  Lujhu Township</t>
    </r>
  </si>
  <si>
    <r>
      <t>大園鄉</t>
    </r>
    <r>
      <rPr>
        <sz val="9"/>
        <rFont val="Arial Narrow"/>
        <family val="2"/>
      </rPr>
      <t xml:space="preserve">  Dayuan Township</t>
    </r>
  </si>
  <si>
    <r>
      <t>龜山鄉</t>
    </r>
    <r>
      <rPr>
        <sz val="9"/>
        <rFont val="Arial Narrow"/>
        <family val="2"/>
      </rPr>
      <t xml:space="preserve">  Gueishan Township</t>
    </r>
  </si>
  <si>
    <r>
      <t>龍潭鄉</t>
    </r>
    <r>
      <rPr>
        <sz val="9"/>
        <rFont val="Arial Narrow"/>
        <family val="2"/>
      </rPr>
      <t xml:space="preserve">  Longtan Township</t>
    </r>
  </si>
  <si>
    <r>
      <t>新屋鄉</t>
    </r>
    <r>
      <rPr>
        <sz val="9"/>
        <rFont val="Arial Narrow"/>
        <family val="2"/>
      </rPr>
      <t xml:space="preserve">  Sinwu Township</t>
    </r>
  </si>
  <si>
    <r>
      <t>觀音鄉</t>
    </r>
    <r>
      <rPr>
        <sz val="9"/>
        <rFont val="Arial Narrow"/>
        <family val="2"/>
      </rPr>
      <t xml:space="preserve">  Guanyin Township</t>
    </r>
  </si>
  <si>
    <r>
      <t>復興鄉</t>
    </r>
    <r>
      <rPr>
        <sz val="9"/>
        <rFont val="Arial Narrow"/>
        <family val="2"/>
      </rPr>
      <t xml:space="preserve">  Fusing Township</t>
    </r>
  </si>
  <si>
    <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Households of The Aborigines</t>
    </r>
  </si>
  <si>
    <t>Source : Bureau of Civil Affairs 1511-00-03-2.</t>
  </si>
  <si>
    <t>End of Year 
&amp; District</t>
  </si>
  <si>
    <t xml:space="preserve">Aborigines  </t>
  </si>
  <si>
    <r>
      <t>民國</t>
    </r>
    <r>
      <rPr>
        <sz val="8"/>
        <color indexed="8"/>
        <rFont val="Arial Narrow"/>
        <family val="2"/>
      </rPr>
      <t xml:space="preserve"> 95 </t>
    </r>
    <r>
      <rPr>
        <sz val="8"/>
        <color indexed="8"/>
        <rFont val="華康粗圓體"/>
        <family val="3"/>
      </rPr>
      <t xml:space="preserve">年底
</t>
    </r>
    <r>
      <rPr>
        <sz val="8"/>
        <color indexed="8"/>
        <rFont val="Arial Narrow"/>
        <family val="2"/>
      </rPr>
      <t>End of 2006</t>
    </r>
  </si>
  <si>
    <r>
      <t>民國</t>
    </r>
    <r>
      <rPr>
        <sz val="8"/>
        <color indexed="8"/>
        <rFont val="Arial Narrow"/>
        <family val="2"/>
      </rPr>
      <t xml:space="preserve"> 96 </t>
    </r>
    <r>
      <rPr>
        <sz val="8"/>
        <color indexed="8"/>
        <rFont val="華康粗圓體"/>
        <family val="3"/>
      </rPr>
      <t xml:space="preserve">年底
</t>
    </r>
    <r>
      <rPr>
        <sz val="8"/>
        <color indexed="8"/>
        <rFont val="Arial Narrow"/>
        <family val="2"/>
      </rPr>
      <t>End of 2007</t>
    </r>
  </si>
  <si>
    <r>
      <t>民國</t>
    </r>
    <r>
      <rPr>
        <sz val="8"/>
        <color indexed="8"/>
        <rFont val="Arial Narrow"/>
        <family val="2"/>
      </rPr>
      <t xml:space="preserve"> 97 </t>
    </r>
    <r>
      <rPr>
        <sz val="8"/>
        <color indexed="8"/>
        <rFont val="華康粗圓體"/>
        <family val="3"/>
      </rPr>
      <t xml:space="preserve">年底
</t>
    </r>
    <r>
      <rPr>
        <sz val="8"/>
        <color indexed="8"/>
        <rFont val="Arial Narrow"/>
        <family val="2"/>
      </rPr>
      <t>End of 2008</t>
    </r>
  </si>
  <si>
    <r>
      <t>民國</t>
    </r>
    <r>
      <rPr>
        <sz val="8"/>
        <color indexed="8"/>
        <rFont val="Arial Narrow"/>
        <family val="2"/>
      </rPr>
      <t xml:space="preserve"> 98 </t>
    </r>
    <r>
      <rPr>
        <sz val="8"/>
        <color indexed="8"/>
        <rFont val="華康粗圓體"/>
        <family val="3"/>
      </rPr>
      <t xml:space="preserve">年底
</t>
    </r>
    <r>
      <rPr>
        <sz val="8"/>
        <color indexed="8"/>
        <rFont val="Arial Narrow"/>
        <family val="2"/>
      </rPr>
      <t>End of 2009</t>
    </r>
  </si>
  <si>
    <r>
      <t>民國</t>
    </r>
    <r>
      <rPr>
        <sz val="8"/>
        <color indexed="8"/>
        <rFont val="Arial Narrow"/>
        <family val="2"/>
      </rPr>
      <t xml:space="preserve"> 99 </t>
    </r>
    <r>
      <rPr>
        <sz val="8"/>
        <color indexed="8"/>
        <rFont val="華康粗圓體"/>
        <family val="3"/>
      </rPr>
      <t xml:space="preserve">年底
</t>
    </r>
    <r>
      <rPr>
        <sz val="8"/>
        <color indexed="8"/>
        <rFont val="Arial Narrow"/>
        <family val="2"/>
      </rPr>
      <t>End of 2010</t>
    </r>
  </si>
  <si>
    <r>
      <t>表</t>
    </r>
    <r>
      <rPr>
        <sz val="12"/>
        <color indexed="8"/>
        <rFont val="Arial"/>
        <family val="2"/>
      </rPr>
      <t>2-10</t>
    </r>
    <r>
      <rPr>
        <sz val="12"/>
        <color indexed="8"/>
        <rFont val="華康粗圓體"/>
        <family val="3"/>
      </rPr>
      <t>、滿</t>
    </r>
    <r>
      <rPr>
        <sz val="12"/>
        <color indexed="8"/>
        <rFont val="Arial"/>
        <family val="2"/>
      </rPr>
      <t>15</t>
    </r>
    <r>
      <rPr>
        <sz val="12"/>
        <color indexed="8"/>
        <rFont val="華康粗圓體"/>
        <family val="3"/>
      </rPr>
      <t>歲以上現住原住民教育程度</t>
    </r>
  </si>
  <si>
    <r>
      <t>2-10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The Aborigines by Educational Attainment Aged 15 and Over</t>
    </r>
  </si>
  <si>
    <t>原住民別</t>
  </si>
  <si>
    <r>
      <t>單位：人</t>
    </r>
  </si>
  <si>
    <t>Unit : Person</t>
  </si>
  <si>
    <r>
      <t xml:space="preserve">前三年
</t>
    </r>
    <r>
      <rPr>
        <sz val="7.5"/>
        <rFont val="Arial Narrow"/>
        <family val="2"/>
      </rPr>
      <t>First 3 Years</t>
    </r>
  </si>
  <si>
    <r>
      <t xml:space="preserve">男
</t>
    </r>
    <r>
      <rPr>
        <sz val="7.5"/>
        <color indexed="8"/>
        <rFont val="Arial Narrow"/>
        <family val="2"/>
      </rPr>
      <t>Male</t>
    </r>
  </si>
  <si>
    <r>
      <t>平地原住民</t>
    </r>
    <r>
      <rPr>
        <sz val="7.5"/>
        <color indexed="8"/>
        <rFont val="Arial Narrow"/>
        <family val="2"/>
      </rPr>
      <t xml:space="preserve"> in Plains</t>
    </r>
  </si>
  <si>
    <r>
      <t>山地原住民</t>
    </r>
    <r>
      <rPr>
        <sz val="7.5"/>
        <color indexed="8"/>
        <rFont val="Arial Narrow"/>
        <family val="2"/>
      </rPr>
      <t xml:space="preserve"> in Mountains</t>
    </r>
  </si>
  <si>
    <r>
      <t xml:space="preserve">女
</t>
    </r>
    <r>
      <rPr>
        <sz val="7.5"/>
        <color indexed="8"/>
        <rFont val="Arial Narrow"/>
        <family val="2"/>
      </rPr>
      <t>Female</t>
    </r>
  </si>
  <si>
    <r>
      <t>山地原住民</t>
    </r>
    <r>
      <rPr>
        <sz val="7.5"/>
        <color indexed="8"/>
        <rFont val="Arial Narrow"/>
        <family val="2"/>
      </rPr>
      <t xml:space="preserve"> in Mou</t>
    </r>
    <r>
      <rPr>
        <sz val="7.5"/>
        <rFont val="Arial Narrow"/>
        <family val="2"/>
      </rPr>
      <t>ntains</t>
    </r>
  </si>
  <si>
    <r>
      <t xml:space="preserve">男
</t>
    </r>
    <r>
      <rPr>
        <sz val="7.5"/>
        <color indexed="8"/>
        <rFont val="Arial Narrow"/>
        <family val="2"/>
      </rPr>
      <t>Male</t>
    </r>
  </si>
  <si>
    <t>合計</t>
  </si>
  <si>
    <r>
      <t>單位：人</t>
    </r>
  </si>
  <si>
    <r>
      <t xml:space="preserve">男
</t>
    </r>
    <r>
      <rPr>
        <sz val="7.5"/>
        <color indexed="8"/>
        <rFont val="Arial Narrow"/>
        <family val="2"/>
      </rPr>
      <t>Male</t>
    </r>
  </si>
  <si>
    <r>
      <t xml:space="preserve">桃園市
</t>
    </r>
    <r>
      <rPr>
        <sz val="8"/>
        <color indexed="8"/>
        <rFont val="Arial Narrow"/>
        <family val="2"/>
      </rPr>
      <t>Taoyuan City</t>
    </r>
  </si>
  <si>
    <r>
      <t xml:space="preserve">中壢市
</t>
    </r>
    <r>
      <rPr>
        <sz val="8"/>
        <color indexed="8"/>
        <rFont val="Arial Narrow"/>
        <family val="2"/>
      </rPr>
      <t>Jhongli City</t>
    </r>
  </si>
  <si>
    <r>
      <t xml:space="preserve">平鎮市
</t>
    </r>
    <r>
      <rPr>
        <sz val="8"/>
        <color indexed="8"/>
        <rFont val="Arial Narrow"/>
        <family val="2"/>
      </rPr>
      <t>Pingjhen City</t>
    </r>
  </si>
  <si>
    <r>
      <t xml:space="preserve">八德市
</t>
    </r>
    <r>
      <rPr>
        <sz val="8"/>
        <color indexed="8"/>
        <rFont val="Arial Narrow"/>
        <family val="2"/>
      </rPr>
      <t>Bade City</t>
    </r>
  </si>
  <si>
    <r>
      <t xml:space="preserve">楊梅市
</t>
    </r>
    <r>
      <rPr>
        <sz val="8"/>
        <color indexed="8"/>
        <rFont val="Arial Narrow"/>
        <family val="2"/>
      </rPr>
      <t>Yangmei City</t>
    </r>
  </si>
  <si>
    <r>
      <t xml:space="preserve">大溪鎮
</t>
    </r>
    <r>
      <rPr>
        <sz val="8"/>
        <color indexed="8"/>
        <rFont val="Arial Narrow"/>
        <family val="2"/>
      </rPr>
      <t>Dasi Township</t>
    </r>
  </si>
  <si>
    <r>
      <t>2-10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The Aborigines by Educational Attainment Aged 15 and Over (Cont. 1)</t>
    </r>
  </si>
  <si>
    <r>
      <t>民國</t>
    </r>
    <r>
      <rPr>
        <sz val="8"/>
        <color indexed="8"/>
        <rFont val="Arial Narrow"/>
        <family val="2"/>
      </rPr>
      <t>100</t>
    </r>
    <r>
      <rPr>
        <sz val="8"/>
        <color indexed="8"/>
        <rFont val="華康粗圓體"/>
        <family val="3"/>
      </rPr>
      <t xml:space="preserve">年底
</t>
    </r>
    <r>
      <rPr>
        <sz val="8"/>
        <color indexed="8"/>
        <rFont val="Arial Narrow"/>
        <family val="2"/>
      </rPr>
      <t>End of 2011</t>
    </r>
  </si>
  <si>
    <r>
      <t>單位：人</t>
    </r>
  </si>
  <si>
    <t>Unit : Person</t>
  </si>
  <si>
    <r>
      <t xml:space="preserve">蘆竹鄉
</t>
    </r>
    <r>
      <rPr>
        <sz val="8"/>
        <color indexed="8"/>
        <rFont val="Arial Narrow"/>
        <family val="2"/>
      </rPr>
      <t>Lujhu Township</t>
    </r>
  </si>
  <si>
    <r>
      <t xml:space="preserve">男
</t>
    </r>
    <r>
      <rPr>
        <sz val="7.5"/>
        <color indexed="8"/>
        <rFont val="Arial Narrow"/>
        <family val="2"/>
      </rPr>
      <t>Male</t>
    </r>
  </si>
  <si>
    <r>
      <t xml:space="preserve">大園鄉
</t>
    </r>
    <r>
      <rPr>
        <sz val="8"/>
        <color indexed="8"/>
        <rFont val="Arial Narrow"/>
        <family val="2"/>
      </rPr>
      <t>Dayuan Township</t>
    </r>
  </si>
  <si>
    <r>
      <t xml:space="preserve">男
</t>
    </r>
    <r>
      <rPr>
        <sz val="7.5"/>
        <color indexed="8"/>
        <rFont val="Arial Narrow"/>
        <family val="2"/>
      </rPr>
      <t>Male</t>
    </r>
  </si>
  <si>
    <r>
      <t xml:space="preserve">龜山鄉
</t>
    </r>
    <r>
      <rPr>
        <sz val="8"/>
        <color indexed="8"/>
        <rFont val="Arial Narrow"/>
        <family val="2"/>
      </rPr>
      <t>Gueishan Township</t>
    </r>
  </si>
  <si>
    <r>
      <t>山地原住民</t>
    </r>
    <r>
      <rPr>
        <sz val="7.5"/>
        <color indexed="8"/>
        <rFont val="Arial Narrow"/>
        <family val="2"/>
      </rPr>
      <t xml:space="preserve"> in Mou</t>
    </r>
    <r>
      <rPr>
        <sz val="7.5"/>
        <rFont val="Arial Narrow"/>
        <family val="2"/>
      </rPr>
      <t>ntains</t>
    </r>
  </si>
  <si>
    <r>
      <t xml:space="preserve">龍潭鄉
</t>
    </r>
    <r>
      <rPr>
        <sz val="8"/>
        <color indexed="8"/>
        <rFont val="Arial Narrow"/>
        <family val="2"/>
      </rPr>
      <t>Longtan Township</t>
    </r>
  </si>
  <si>
    <r>
      <t xml:space="preserve">新屋鄉
</t>
    </r>
    <r>
      <rPr>
        <sz val="8"/>
        <color indexed="8"/>
        <rFont val="Arial Narrow"/>
        <family val="2"/>
      </rPr>
      <t>Sinwu Township</t>
    </r>
  </si>
  <si>
    <r>
      <t xml:space="preserve">觀音鄉
</t>
    </r>
    <r>
      <rPr>
        <sz val="8"/>
        <color indexed="8"/>
        <rFont val="Arial Narrow"/>
        <family val="2"/>
      </rPr>
      <t>Guanyin Township</t>
    </r>
  </si>
  <si>
    <r>
      <t xml:space="preserve">復興鄉
</t>
    </r>
    <r>
      <rPr>
        <sz val="8"/>
        <color indexed="8"/>
        <rFont val="Arial Narrow"/>
        <family val="2"/>
      </rPr>
      <t>Fusing Township</t>
    </r>
  </si>
  <si>
    <r>
      <t>資料來源：本府民政局</t>
    </r>
    <r>
      <rPr>
        <sz val="9"/>
        <color indexed="8"/>
        <rFont val="Arial Narrow"/>
        <family val="2"/>
      </rPr>
      <t>1222-02-05-2 (95</t>
    </r>
    <r>
      <rPr>
        <sz val="9"/>
        <color indexed="8"/>
        <rFont val="華康中黑體"/>
        <family val="3"/>
      </rPr>
      <t>年起開始報送</t>
    </r>
    <r>
      <rPr>
        <sz val="9"/>
        <color indexed="8"/>
        <rFont val="Arial Narrow"/>
        <family val="2"/>
      </rPr>
      <t>)</t>
    </r>
    <r>
      <rPr>
        <sz val="9"/>
        <color indexed="8"/>
        <rFont val="華康中黑體"/>
        <family val="3"/>
      </rPr>
      <t>。</t>
    </r>
  </si>
  <si>
    <r>
      <t>民國</t>
    </r>
    <r>
      <rPr>
        <sz val="9"/>
        <color indexed="8"/>
        <rFont val="Arial Narrow"/>
        <family val="2"/>
      </rPr>
      <t xml:space="preserve"> 95 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 of 2006</t>
    </r>
  </si>
  <si>
    <r>
      <t>平地原住民</t>
    </r>
    <r>
      <rPr>
        <sz val="9"/>
        <color indexed="8"/>
        <rFont val="Arial Narrow"/>
        <family val="2"/>
      </rPr>
      <t xml:space="preserve"> in Plains</t>
    </r>
  </si>
  <si>
    <r>
      <t>山地原住民</t>
    </r>
    <r>
      <rPr>
        <sz val="9"/>
        <color indexed="8"/>
        <rFont val="Arial Narrow"/>
        <family val="2"/>
      </rPr>
      <t xml:space="preserve"> in Mountains</t>
    </r>
  </si>
  <si>
    <r>
      <t>民國</t>
    </r>
    <r>
      <rPr>
        <sz val="9"/>
        <color indexed="8"/>
        <rFont val="Arial Narrow"/>
        <family val="2"/>
      </rPr>
      <t xml:space="preserve"> 96 </t>
    </r>
    <r>
      <rPr>
        <sz val="9"/>
        <color indexed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
 End  of 2007</t>
    </r>
  </si>
  <si>
    <r>
      <t>平地原住民</t>
    </r>
    <r>
      <rPr>
        <sz val="9"/>
        <color indexed="8"/>
        <rFont val="Arial Narrow"/>
        <family val="2"/>
      </rPr>
      <t xml:space="preserve"> in Plains</t>
    </r>
  </si>
  <si>
    <r>
      <t>山地原住民</t>
    </r>
    <r>
      <rPr>
        <sz val="9"/>
        <color indexed="8"/>
        <rFont val="Arial Narrow"/>
        <family val="2"/>
      </rPr>
      <t xml:space="preserve"> in Mou</t>
    </r>
    <r>
      <rPr>
        <sz val="9"/>
        <rFont val="Arial Narrow"/>
        <family val="2"/>
      </rPr>
      <t>ntains</t>
    </r>
  </si>
  <si>
    <r>
      <t>民國</t>
    </r>
    <r>
      <rPr>
        <sz val="9"/>
        <color indexed="8"/>
        <rFont val="Arial Narrow"/>
        <family val="2"/>
      </rPr>
      <t xml:space="preserve"> 97 </t>
    </r>
    <r>
      <rPr>
        <sz val="9"/>
        <color indexed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
 End  of 2008</t>
    </r>
  </si>
  <si>
    <r>
      <t>民國</t>
    </r>
    <r>
      <rPr>
        <sz val="9"/>
        <color indexed="8"/>
        <rFont val="Arial Narrow"/>
        <family val="2"/>
      </rPr>
      <t xml:space="preserve"> 98 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</t>
    </r>
    <r>
      <rPr>
        <sz val="9"/>
        <rFont val="Arial Narrow"/>
        <family val="2"/>
      </rPr>
      <t xml:space="preserve">  of 2009</t>
    </r>
  </si>
  <si>
    <r>
      <t>民國</t>
    </r>
    <r>
      <rPr>
        <sz val="9"/>
        <color indexed="8"/>
        <rFont val="Arial Narrow"/>
        <family val="2"/>
      </rPr>
      <t xml:space="preserve"> 99 </t>
    </r>
    <r>
      <rPr>
        <sz val="9"/>
        <color indexed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
 End  of 2010</t>
    </r>
  </si>
  <si>
    <r>
      <t>民國</t>
    </r>
    <r>
      <rPr>
        <sz val="9"/>
        <color indexed="8"/>
        <rFont val="Arial Narrow"/>
        <family val="2"/>
      </rPr>
      <t xml:space="preserve"> 100</t>
    </r>
    <r>
      <rPr>
        <sz val="9"/>
        <color indexed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
 End  of 2011</t>
    </r>
  </si>
  <si>
    <r>
      <t xml:space="preserve">桃園市
</t>
    </r>
    <r>
      <rPr>
        <sz val="9"/>
        <color indexed="8"/>
        <rFont val="Arial Narrow"/>
        <family val="2"/>
      </rPr>
      <t>Taoyuan City</t>
    </r>
  </si>
  <si>
    <r>
      <t xml:space="preserve">中壢市
</t>
    </r>
    <r>
      <rPr>
        <sz val="9"/>
        <color indexed="8"/>
        <rFont val="Arial Narrow"/>
        <family val="2"/>
      </rPr>
      <t xml:space="preserve"> Jhongli City</t>
    </r>
  </si>
  <si>
    <r>
      <t xml:space="preserve">平鎮市
</t>
    </r>
    <r>
      <rPr>
        <sz val="9"/>
        <color indexed="8"/>
        <rFont val="Arial Narrow"/>
        <family val="2"/>
      </rPr>
      <t>Pingjhen City</t>
    </r>
  </si>
  <si>
    <r>
      <t xml:space="preserve">八德市
</t>
    </r>
    <r>
      <rPr>
        <sz val="9"/>
        <color indexed="8"/>
        <rFont val="Arial Narrow"/>
        <family val="2"/>
      </rPr>
      <t>Bade City</t>
    </r>
  </si>
  <si>
    <r>
      <t>總　　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計</t>
    </r>
    <r>
      <rPr>
        <sz val="9"/>
        <color indexed="8"/>
        <rFont val="Arial Narrow"/>
        <family val="2"/>
      </rPr>
      <t xml:space="preserve">
Grand Total</t>
    </r>
  </si>
  <si>
    <r>
      <t xml:space="preserve">有　　　偶
</t>
    </r>
    <r>
      <rPr>
        <sz val="9"/>
        <color indexed="8"/>
        <rFont val="Arial Narrow"/>
        <family val="2"/>
      </rPr>
      <t>Married</t>
    </r>
  </si>
  <si>
    <r>
      <t>表</t>
    </r>
    <r>
      <rPr>
        <sz val="12"/>
        <color indexed="8"/>
        <rFont val="Arial"/>
        <family val="2"/>
      </rPr>
      <t>2-11</t>
    </r>
    <r>
      <rPr>
        <sz val="12"/>
        <color indexed="8"/>
        <rFont val="華康粗圓體"/>
        <family val="3"/>
      </rPr>
      <t>、現住原住民婚姻狀況</t>
    </r>
    <r>
      <rPr>
        <sz val="12"/>
        <color indexed="8"/>
        <rFont val="Arial"/>
        <family val="2"/>
      </rPr>
      <t xml:space="preserve"> </t>
    </r>
  </si>
  <si>
    <r>
      <t>2-11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The Aborigines by Marital Status</t>
    </r>
  </si>
  <si>
    <t xml:space="preserve">  </t>
  </si>
  <si>
    <t>Population</t>
  </si>
  <si>
    <t xml:space="preserve">  </t>
  </si>
  <si>
    <t>年底別及鄉鎮市別</t>
  </si>
  <si>
    <t>原住民別</t>
  </si>
  <si>
    <r>
      <t>總　　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Grand Total</t>
    </r>
  </si>
  <si>
    <r>
      <t xml:space="preserve">未　　　婚
</t>
    </r>
    <r>
      <rPr>
        <sz val="9"/>
        <color indexed="8"/>
        <rFont val="Arial Narrow"/>
        <family val="2"/>
      </rPr>
      <t>Single</t>
    </r>
  </si>
  <si>
    <r>
      <t xml:space="preserve">有　　　偶
</t>
    </r>
    <r>
      <rPr>
        <sz val="9"/>
        <color indexed="8"/>
        <rFont val="Arial Narrow"/>
        <family val="2"/>
      </rPr>
      <t>Married</t>
    </r>
  </si>
  <si>
    <r>
      <t xml:space="preserve">離　　　婚
</t>
    </r>
    <r>
      <rPr>
        <sz val="9"/>
        <color indexed="8"/>
        <rFont val="Arial Narrow"/>
        <family val="2"/>
      </rPr>
      <t>Divorced</t>
    </r>
  </si>
  <si>
    <r>
      <t xml:space="preserve">喪　　　偶
</t>
    </r>
    <r>
      <rPr>
        <sz val="9"/>
        <color indexed="8"/>
        <rFont val="Arial Narrow"/>
        <family val="2"/>
      </rPr>
      <t>Widowed</t>
    </r>
  </si>
  <si>
    <t>End of Year &amp; District</t>
  </si>
  <si>
    <t xml:space="preserve">Aborigines  </t>
  </si>
  <si>
    <r>
      <t xml:space="preserve">楊梅市
</t>
    </r>
    <r>
      <rPr>
        <sz val="9"/>
        <color indexed="8"/>
        <rFont val="Arial Narrow"/>
        <family val="2"/>
      </rPr>
      <t>Yangmei City</t>
    </r>
  </si>
  <si>
    <r>
      <t xml:space="preserve">大溪鎮
</t>
    </r>
    <r>
      <rPr>
        <sz val="9"/>
        <color indexed="8"/>
        <rFont val="Arial Narrow"/>
        <family val="2"/>
      </rPr>
      <t>Dasi Township</t>
    </r>
  </si>
  <si>
    <r>
      <t xml:space="preserve">蘆竹鄉
</t>
    </r>
    <r>
      <rPr>
        <sz val="9"/>
        <color indexed="8"/>
        <rFont val="Arial Narrow"/>
        <family val="2"/>
      </rPr>
      <t>Lujhu Township</t>
    </r>
  </si>
  <si>
    <r>
      <t xml:space="preserve">大園鄉
</t>
    </r>
    <r>
      <rPr>
        <sz val="9"/>
        <color indexed="8"/>
        <rFont val="Arial Narrow"/>
        <family val="2"/>
      </rPr>
      <t>Dayuan Township</t>
    </r>
  </si>
  <si>
    <r>
      <t xml:space="preserve">龜山鄉
</t>
    </r>
    <r>
      <rPr>
        <sz val="9"/>
        <color indexed="8"/>
        <rFont val="Arial Narrow"/>
        <family val="2"/>
      </rPr>
      <t>Gueishan Township</t>
    </r>
  </si>
  <si>
    <r>
      <t xml:space="preserve">龍潭鄉
</t>
    </r>
    <r>
      <rPr>
        <sz val="9"/>
        <color indexed="8"/>
        <rFont val="Arial Narrow"/>
        <family val="2"/>
      </rPr>
      <t>Longtan Township</t>
    </r>
  </si>
  <si>
    <r>
      <t xml:space="preserve">新屋鄉
</t>
    </r>
    <r>
      <rPr>
        <sz val="9"/>
        <color indexed="8"/>
        <rFont val="Arial Narrow"/>
        <family val="2"/>
      </rPr>
      <t>Sinwu Township</t>
    </r>
  </si>
  <si>
    <r>
      <t xml:space="preserve">觀音鄉
</t>
    </r>
    <r>
      <rPr>
        <sz val="9"/>
        <color indexed="8"/>
        <rFont val="Arial Narrow"/>
        <family val="2"/>
      </rPr>
      <t>Guanyin Township</t>
    </r>
  </si>
  <si>
    <r>
      <t xml:space="preserve">復興鄉
</t>
    </r>
    <r>
      <rPr>
        <sz val="9"/>
        <color indexed="8"/>
        <rFont val="Arial Narrow"/>
        <family val="2"/>
      </rPr>
      <t>Fusing Township</t>
    </r>
  </si>
  <si>
    <r>
      <t>表</t>
    </r>
    <r>
      <rPr>
        <sz val="12"/>
        <color indexed="8"/>
        <rFont val="Arial"/>
        <family val="2"/>
      </rPr>
      <t>2-11</t>
    </r>
    <r>
      <rPr>
        <sz val="12"/>
        <color indexed="8"/>
        <rFont val="華康粗圓體"/>
        <family val="3"/>
      </rPr>
      <t>、現住原住民婚姻狀況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華康粗圓體"/>
        <family val="3"/>
      </rPr>
      <t>（續）</t>
    </r>
  </si>
  <si>
    <r>
      <t>2-11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The Aborigines by Marital Status (Cont.)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</si>
  <si>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</si>
  <si>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</si>
  <si>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</si>
  <si>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</si>
  <si>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</si>
  <si>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</si>
  <si>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</si>
  <si>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</si>
  <si>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</si>
  <si>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</si>
  <si>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</si>
  <si>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</si>
  <si>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</si>
  <si>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</si>
  <si>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 xml:space="preserve">
Area
(Km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</si>
  <si>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r>
      <t>資料來源：本府民政局</t>
    </r>
    <r>
      <rPr>
        <sz val="9"/>
        <rFont val="Arial Narrow"/>
        <family val="2"/>
      </rPr>
      <t>1222-00-01-2</t>
    </r>
    <r>
      <rPr>
        <sz val="9"/>
        <rFont val="華康中黑體"/>
        <family val="3"/>
      </rPr>
      <t>。</t>
    </r>
  </si>
  <si>
    <r>
      <t>Population Density
(Person/ Km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</si>
  <si>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t>Source : Bureau of Civil Affairs 1222-00-01-2.</t>
  </si>
  <si>
    <t>合計</t>
  </si>
  <si>
    <t>自外國</t>
  </si>
  <si>
    <t>初設戶籍</t>
  </si>
  <si>
    <t>其他</t>
  </si>
  <si>
    <t>往外國</t>
  </si>
  <si>
    <t>Year &amp; District</t>
  </si>
  <si>
    <t>新北市</t>
  </si>
  <si>
    <t>台北市</t>
  </si>
  <si>
    <t>台中市</t>
  </si>
  <si>
    <t>台南市</t>
  </si>
  <si>
    <t>高雄市</t>
  </si>
  <si>
    <t>福建省</t>
  </si>
  <si>
    <t>Other C. 
&amp; City of Prov.</t>
  </si>
  <si>
    <t>Other T., City 
&amp; Dist.</t>
  </si>
  <si>
    <r>
      <t>自他省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 (Cities)</t>
    </r>
  </si>
  <si>
    <r>
      <t>Source : Bureau of Civil Affairs 1221-00-01-2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1231-01-32-2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1232-01-12-2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1234-03-08-2.</t>
    </r>
  </si>
  <si>
    <r>
      <t>往他省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To  Other Provinces (Cities)</t>
    </r>
  </si>
  <si>
    <t>粗死亡率</t>
  </si>
  <si>
    <t>對數</t>
  </si>
  <si>
    <t>往本省他縣市</t>
  </si>
  <si>
    <t>往本縣他鄉鎮市</t>
  </si>
  <si>
    <t>廢止戶籍</t>
  </si>
  <si>
    <t>其他</t>
  </si>
  <si>
    <t>合計</t>
  </si>
  <si>
    <t>男</t>
  </si>
  <si>
    <t>女</t>
  </si>
  <si>
    <r>
      <t xml:space="preserve">粗離婚率
</t>
    </r>
    <r>
      <rPr>
        <sz val="9"/>
        <rFont val="Arial Narrow"/>
        <family val="2"/>
      </rPr>
      <t>Crude Divorce Rate (‰)</t>
    </r>
  </si>
  <si>
    <t>Year &amp; District</t>
  </si>
  <si>
    <t>Other C. 
&amp; City of Prov.</t>
  </si>
  <si>
    <t>Other T., City 
&amp; Dist.</t>
  </si>
  <si>
    <t>Deleted Reg.</t>
  </si>
  <si>
    <t>遷　入</t>
  </si>
  <si>
    <t>遷　出</t>
  </si>
  <si>
    <t>Crude Birth Rate (‰)</t>
  </si>
  <si>
    <t>Crude Death Rate (‰)</t>
  </si>
  <si>
    <t>Immigrant</t>
  </si>
  <si>
    <t>Emigrant</t>
  </si>
  <si>
    <t>Total</t>
  </si>
  <si>
    <t>Male</t>
  </si>
  <si>
    <t>Female</t>
  </si>
  <si>
    <t>Couples</t>
  </si>
  <si>
    <t>End of  Year</t>
  </si>
  <si>
    <t>Gender</t>
  </si>
  <si>
    <t>All Years</t>
  </si>
  <si>
    <t xml:space="preserve"> 0-4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</si>
  <si>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</si>
  <si>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</si>
  <si>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</si>
  <si>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</si>
  <si>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</si>
  <si>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</si>
  <si>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</si>
  <si>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</si>
  <si>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</si>
  <si>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</si>
  <si>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</si>
  <si>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</si>
  <si>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</si>
  <si>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</si>
  <si>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</si>
  <si>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</si>
  <si>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</si>
  <si>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</si>
  <si>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</si>
  <si>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 Years of Age and Over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</si>
  <si>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</si>
  <si>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</si>
  <si>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</si>
  <si>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</si>
  <si>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</si>
  <si>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</si>
  <si>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</si>
  <si>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</si>
  <si>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</si>
  <si>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遷　　　　　入　　　　　人　　　　　數</t>
  </si>
  <si>
    <r>
      <t xml:space="preserve">粗結婚率
</t>
    </r>
    <r>
      <rPr>
        <sz val="9"/>
        <rFont val="Arial Narrow"/>
        <family val="2"/>
      </rPr>
      <t>Crude Marriage Rate (‰)</t>
    </r>
  </si>
  <si>
    <t>Source : Bureau of Civil Affairs 1222-01-02-2.</t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</si>
  <si>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2011</t>
    </r>
  </si>
  <si>
    <r>
      <t xml:space="preserve">   </t>
    </r>
    <r>
      <rPr>
        <sz val="8.5"/>
        <rFont val="華康粗圓體"/>
        <family val="3"/>
      </rPr>
      <t xml:space="preserve">桃　園　市
</t>
    </r>
    <r>
      <rPr>
        <sz val="8.5"/>
        <rFont val="Arial Narrow"/>
        <family val="2"/>
      </rPr>
      <t xml:space="preserve">   Taoyuan City</t>
    </r>
  </si>
  <si>
    <r>
      <t xml:space="preserve">   </t>
    </r>
    <r>
      <rPr>
        <sz val="8.5"/>
        <rFont val="華康粗圓體"/>
        <family val="3"/>
      </rPr>
      <t xml:space="preserve">中　壢　市
</t>
    </r>
    <r>
      <rPr>
        <sz val="8.5"/>
        <rFont val="Arial Narrow"/>
        <family val="2"/>
      </rPr>
      <t xml:space="preserve">   Jhongli City</t>
    </r>
  </si>
  <si>
    <r>
      <t xml:space="preserve">   </t>
    </r>
    <r>
      <rPr>
        <sz val="8.5"/>
        <rFont val="華康粗圓體"/>
        <family val="3"/>
      </rPr>
      <t xml:space="preserve">平　鎮　市
</t>
    </r>
    <r>
      <rPr>
        <sz val="8.5"/>
        <rFont val="Arial Narrow"/>
        <family val="2"/>
      </rPr>
      <t xml:space="preserve">   Pingjhen City</t>
    </r>
  </si>
  <si>
    <r>
      <t xml:space="preserve">   </t>
    </r>
    <r>
      <rPr>
        <sz val="8.5"/>
        <rFont val="華康粗圓體"/>
        <family val="3"/>
      </rPr>
      <t xml:space="preserve">八　德　市
</t>
    </r>
    <r>
      <rPr>
        <sz val="8.5"/>
        <rFont val="Arial Narrow"/>
        <family val="2"/>
      </rPr>
      <t xml:space="preserve">   Bade City</t>
    </r>
  </si>
  <si>
    <r>
      <t xml:space="preserve">   </t>
    </r>
    <r>
      <rPr>
        <sz val="8.5"/>
        <rFont val="華康粗圓體"/>
        <family val="3"/>
      </rPr>
      <t xml:space="preserve">楊　梅　市
</t>
    </r>
    <r>
      <rPr>
        <sz val="8.5"/>
        <rFont val="Arial Narrow"/>
        <family val="2"/>
      </rPr>
      <t xml:space="preserve">   Yangmei City</t>
    </r>
  </si>
  <si>
    <r>
      <t xml:space="preserve">   </t>
    </r>
    <r>
      <rPr>
        <sz val="8.5"/>
        <rFont val="華康粗圓體"/>
        <family val="3"/>
      </rPr>
      <t xml:space="preserve">大　溪　鎮
</t>
    </r>
    <r>
      <rPr>
        <sz val="8.5"/>
        <rFont val="Arial Narrow"/>
        <family val="2"/>
      </rPr>
      <t xml:space="preserve">   Dasi Township</t>
    </r>
  </si>
  <si>
    <r>
      <t xml:space="preserve">   </t>
    </r>
    <r>
      <rPr>
        <sz val="8.5"/>
        <rFont val="華康粗圓體"/>
        <family val="3"/>
      </rPr>
      <t xml:space="preserve">蘆　竹　鄉
</t>
    </r>
    <r>
      <rPr>
        <sz val="8.5"/>
        <rFont val="Arial Narrow"/>
        <family val="2"/>
      </rPr>
      <t xml:space="preserve">   Lujhu Township</t>
    </r>
  </si>
  <si>
    <r>
      <t xml:space="preserve">   </t>
    </r>
    <r>
      <rPr>
        <sz val="8.5"/>
        <rFont val="華康粗圓體"/>
        <family val="3"/>
      </rPr>
      <t xml:space="preserve">大　園　鄉
</t>
    </r>
    <r>
      <rPr>
        <sz val="8.5"/>
        <rFont val="Arial Narrow"/>
        <family val="2"/>
      </rPr>
      <t xml:space="preserve">   Dayuan Township</t>
    </r>
  </si>
  <si>
    <r>
      <t xml:space="preserve">   </t>
    </r>
    <r>
      <rPr>
        <sz val="8.5"/>
        <rFont val="華康粗圓體"/>
        <family val="3"/>
      </rPr>
      <t xml:space="preserve">龜　山　鄉
</t>
    </r>
    <r>
      <rPr>
        <sz val="8.5"/>
        <rFont val="Arial Narrow"/>
        <family val="2"/>
      </rPr>
      <t xml:space="preserve">   Gueishan Township</t>
    </r>
  </si>
  <si>
    <r>
      <t xml:space="preserve">   </t>
    </r>
    <r>
      <rPr>
        <sz val="8.5"/>
        <rFont val="華康粗圓體"/>
        <family val="3"/>
      </rPr>
      <t xml:space="preserve">龍　潭　鄉
</t>
    </r>
    <r>
      <rPr>
        <sz val="8.5"/>
        <rFont val="Arial Narrow"/>
        <family val="2"/>
      </rPr>
      <t xml:space="preserve">   Longtan Township</t>
    </r>
  </si>
  <si>
    <r>
      <t xml:space="preserve">   </t>
    </r>
    <r>
      <rPr>
        <sz val="8.5"/>
        <rFont val="華康粗圓體"/>
        <family val="3"/>
      </rPr>
      <t xml:space="preserve">新　屋　鄉
</t>
    </r>
    <r>
      <rPr>
        <sz val="8.5"/>
        <rFont val="Arial Narrow"/>
        <family val="2"/>
      </rPr>
      <t xml:space="preserve">   Sinwu Township</t>
    </r>
  </si>
  <si>
    <r>
      <t xml:space="preserve">   </t>
    </r>
    <r>
      <rPr>
        <sz val="8.5"/>
        <rFont val="華康粗圓體"/>
        <family val="3"/>
      </rPr>
      <t xml:space="preserve">觀　音　鄉
</t>
    </r>
    <r>
      <rPr>
        <sz val="8.5"/>
        <rFont val="Arial Narrow"/>
        <family val="2"/>
      </rPr>
      <t xml:space="preserve">   Guanyin Township</t>
    </r>
  </si>
  <si>
    <r>
      <t xml:space="preserve">   </t>
    </r>
    <r>
      <rPr>
        <sz val="8.5"/>
        <rFont val="華康粗圓體"/>
        <family val="3"/>
      </rPr>
      <t xml:space="preserve">復　興　鄉
</t>
    </r>
    <r>
      <rPr>
        <sz val="8.5"/>
        <rFont val="Arial Narrow"/>
        <family val="2"/>
      </rPr>
      <t xml:space="preserve">   Fusing Township</t>
    </r>
  </si>
  <si>
    <t xml:space="preserve">           Young Age Population Dependency Ratio = Year-end Population of Persons Aged 0 to 14 / Year-end Population of Persons Aged 15 to 64 x 100</t>
  </si>
  <si>
    <t xml:space="preserve">           Dependency Ratio = (Year-end Population of Persons Aged 0 to 14 + Year-end Population of Persons Aged 65 or Older) / Year-end Population of </t>
  </si>
  <si>
    <t xml:space="preserve">           Persons Aged 15 to 64 x 100 </t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</si>
  <si>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、滿</t>
    </r>
    <r>
      <rPr>
        <sz val="12"/>
        <rFont val="Arial"/>
        <family val="2"/>
      </rPr>
      <t>15</t>
    </r>
    <r>
      <rPr>
        <sz val="12"/>
        <rFont val="華康粗圓體"/>
        <family val="3"/>
      </rPr>
      <t>歲以上現住人口之教育程度－按年齡別分</t>
    </r>
  </si>
  <si>
    <t>Source : Bureau of Civil Affairs 1222-01-04-2.</t>
  </si>
  <si>
    <r>
      <t>　</t>
    </r>
    <r>
      <rPr>
        <sz val="7.5"/>
        <rFont val="Arial Narrow"/>
        <family val="2"/>
      </rPr>
      <t>15-19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15-19 Years</t>
    </r>
  </si>
  <si>
    <r>
      <t>　</t>
    </r>
    <r>
      <rPr>
        <sz val="7.5"/>
        <rFont val="Arial Narrow"/>
        <family val="2"/>
      </rPr>
      <t>25-29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25-29 Years</t>
    </r>
  </si>
  <si>
    <r>
      <t>　</t>
    </r>
    <r>
      <rPr>
        <sz val="7.5"/>
        <rFont val="Arial Narrow"/>
        <family val="2"/>
      </rPr>
      <t>30-34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30-34 Years</t>
    </r>
  </si>
  <si>
    <r>
      <t>　</t>
    </r>
    <r>
      <rPr>
        <sz val="7.5"/>
        <rFont val="Arial Narrow"/>
        <family val="2"/>
      </rPr>
      <t>35-39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35-39 Years</t>
    </r>
  </si>
  <si>
    <r>
      <t>　</t>
    </r>
    <r>
      <rPr>
        <sz val="7.5"/>
        <rFont val="Arial Narrow"/>
        <family val="2"/>
      </rPr>
      <t>40-44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40-44 Years</t>
    </r>
  </si>
  <si>
    <r>
      <t>　</t>
    </r>
    <r>
      <rPr>
        <sz val="7.5"/>
        <rFont val="Arial Narrow"/>
        <family val="2"/>
      </rPr>
      <t>45-49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45-49 Years</t>
    </r>
  </si>
  <si>
    <r>
      <t>　</t>
    </r>
    <r>
      <rPr>
        <sz val="7.5"/>
        <rFont val="Arial Narrow"/>
        <family val="2"/>
      </rPr>
      <t>50-54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50-54 Years</t>
    </r>
  </si>
  <si>
    <r>
      <t>　</t>
    </r>
    <r>
      <rPr>
        <sz val="7.5"/>
        <rFont val="Arial Narrow"/>
        <family val="2"/>
      </rPr>
      <t>55-59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55-59 Years</t>
    </r>
  </si>
  <si>
    <r>
      <t>　</t>
    </r>
    <r>
      <rPr>
        <sz val="7.5"/>
        <rFont val="Arial Narrow"/>
        <family val="2"/>
      </rPr>
      <t>60-64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60-64 Years</t>
    </r>
  </si>
  <si>
    <r>
      <t xml:space="preserve">    65</t>
    </r>
    <r>
      <rPr>
        <sz val="7.5"/>
        <rFont val="華康粗圓體"/>
        <family val="3"/>
      </rPr>
      <t>歲以上
　</t>
    </r>
    <r>
      <rPr>
        <sz val="7.5"/>
        <rFont val="Arial Narrow"/>
        <family val="2"/>
      </rPr>
      <t>over 65 Years</t>
    </r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</si>
  <si>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、滿</t>
    </r>
    <r>
      <rPr>
        <sz val="12"/>
        <rFont val="Arial"/>
        <family val="2"/>
      </rPr>
      <t>15</t>
    </r>
    <r>
      <rPr>
        <sz val="12"/>
        <rFont val="華康粗圓體"/>
        <family val="3"/>
      </rPr>
      <t>歲以上現住人口之教育程度－按年齡別分（續）</t>
    </r>
  </si>
  <si>
    <r>
      <t xml:space="preserve">國　　中
</t>
    </r>
    <r>
      <rPr>
        <sz val="7.5"/>
        <rFont val="Arial Narrow"/>
        <family val="2"/>
      </rPr>
      <t>Junior High School</t>
    </r>
  </si>
  <si>
    <r>
      <t xml:space="preserve">高　　　中
</t>
    </r>
    <r>
      <rPr>
        <sz val="7.5"/>
        <rFont val="Arial Narrow"/>
        <family val="2"/>
      </rPr>
      <t>Senior High School</t>
    </r>
  </si>
  <si>
    <r>
      <t>表</t>
    </r>
    <r>
      <rPr>
        <sz val="12"/>
        <rFont val="Arial"/>
        <family val="2"/>
      </rPr>
      <t>2-5</t>
    </r>
    <r>
      <rPr>
        <sz val="12"/>
        <rFont val="華康粗圓體"/>
        <family val="3"/>
      </rPr>
      <t>、滿</t>
    </r>
    <r>
      <rPr>
        <sz val="12"/>
        <rFont val="Arial"/>
        <family val="2"/>
      </rPr>
      <t>15</t>
    </r>
    <r>
      <rPr>
        <sz val="12"/>
        <rFont val="華康粗圓體"/>
        <family val="3"/>
      </rPr>
      <t>歲以上現住人口之教育程度－按鄉鎮市別分</t>
    </r>
  </si>
  <si>
    <r>
      <t>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 of  Population Aged 15 and Over - By District</t>
    </r>
  </si>
  <si>
    <r>
      <t xml:space="preserve">國　　　中
</t>
    </r>
    <r>
      <rPr>
        <sz val="7"/>
        <rFont val="Arial Narrow"/>
        <family val="2"/>
      </rPr>
      <t>Junior High School</t>
    </r>
  </si>
  <si>
    <r>
      <t xml:space="preserve">高　　　中
</t>
    </r>
    <r>
      <rPr>
        <sz val="7"/>
        <rFont val="Arial Narrow"/>
        <family val="2"/>
      </rPr>
      <t>Senior High School</t>
    </r>
  </si>
  <si>
    <r>
      <t xml:space="preserve">後二年
</t>
    </r>
    <r>
      <rPr>
        <sz val="7.5"/>
        <rFont val="Arial Narrow"/>
        <family val="2"/>
      </rPr>
      <t>Last 2 Years</t>
    </r>
  </si>
  <si>
    <r>
      <t>　</t>
    </r>
    <r>
      <rPr>
        <sz val="7.5"/>
        <rFont val="Arial Narrow"/>
        <family val="2"/>
      </rPr>
      <t>20-24</t>
    </r>
    <r>
      <rPr>
        <sz val="7.5"/>
        <rFont val="華康粗圓體"/>
        <family val="3"/>
      </rPr>
      <t>歲
　</t>
    </r>
    <r>
      <rPr>
        <sz val="7.5"/>
        <rFont val="Arial Narrow"/>
        <family val="2"/>
      </rPr>
      <t>20-24 Years</t>
    </r>
  </si>
  <si>
    <r>
      <t>計</t>
    </r>
    <r>
      <rPr>
        <sz val="7.5"/>
        <color indexed="8"/>
        <rFont val="Arial Narrow"/>
        <family val="2"/>
      </rPr>
      <t>Total</t>
    </r>
  </si>
  <si>
    <r>
      <t xml:space="preserve">後二年
</t>
    </r>
    <r>
      <rPr>
        <sz val="7"/>
        <rFont val="Arial Narrow"/>
        <family val="2"/>
      </rPr>
      <t>Last 2 Years</t>
    </r>
  </si>
  <si>
    <t>Source : Bureau of Civil Affairs 1222-01-03-2.</t>
  </si>
  <si>
    <t>Source : Bureau of Civil Affairs 1222-01-04-2.</t>
  </si>
  <si>
    <t>-</t>
  </si>
  <si>
    <r>
      <t xml:space="preserve">    15-19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15-19 Years</t>
    </r>
  </si>
  <si>
    <r>
      <t xml:space="preserve">    20-24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20-24 Years</t>
    </r>
  </si>
  <si>
    <r>
      <t xml:space="preserve">    25-29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25-29 Years</t>
    </r>
  </si>
  <si>
    <r>
      <t xml:space="preserve">    30-34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30-34 Years</t>
    </r>
  </si>
  <si>
    <r>
      <t xml:space="preserve">    35-39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35-39 Years</t>
    </r>
  </si>
  <si>
    <r>
      <t xml:space="preserve">    40-44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40-44 Years</t>
    </r>
  </si>
  <si>
    <r>
      <t xml:space="preserve">    45-49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45-49 Years</t>
    </r>
  </si>
  <si>
    <r>
      <t xml:space="preserve">    50-54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50-54 Years</t>
    </r>
  </si>
  <si>
    <r>
      <t>2-10</t>
    </r>
    <r>
      <rPr>
        <sz val="11.5"/>
        <color indexed="8"/>
        <rFont val="華康粗圓體"/>
        <family val="3"/>
      </rPr>
      <t>、</t>
    </r>
    <r>
      <rPr>
        <sz val="11.5"/>
        <color indexed="8"/>
        <rFont val="Arial"/>
        <family val="2"/>
      </rPr>
      <t>The Aborigines by Educational Attainment Aged 15 and Over (Cont. 2 End)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</si>
  <si>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</si>
  <si>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 (Cont. 1)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</si>
  <si>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、現住人口之年齡分配（續</t>
    </r>
    <r>
      <rPr>
        <sz val="12"/>
        <rFont val="Arial"/>
        <family val="2"/>
      </rPr>
      <t xml:space="preserve"> 2 </t>
    </r>
    <r>
      <rPr>
        <sz val="12"/>
        <rFont val="華康粗圓體"/>
        <family val="3"/>
      </rPr>
      <t xml:space="preserve">完）
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 (Cont. 2 End)</t>
    </r>
  </si>
  <si>
    <r>
      <t>表</t>
    </r>
    <r>
      <rPr>
        <sz val="12"/>
        <color indexed="8"/>
        <rFont val="Arial"/>
        <family val="2"/>
      </rPr>
      <t>2-10</t>
    </r>
    <r>
      <rPr>
        <sz val="12"/>
        <color indexed="8"/>
        <rFont val="華康粗圓體"/>
        <family val="3"/>
      </rPr>
      <t>、滿</t>
    </r>
    <r>
      <rPr>
        <sz val="12"/>
        <color indexed="8"/>
        <rFont val="Arial"/>
        <family val="2"/>
      </rPr>
      <t>15</t>
    </r>
    <r>
      <rPr>
        <sz val="12"/>
        <color indexed="8"/>
        <rFont val="華康粗圓體"/>
        <family val="3"/>
      </rPr>
      <t>歲以上現住原住民教育程度（續</t>
    </r>
    <r>
      <rPr>
        <sz val="12"/>
        <color indexed="8"/>
        <rFont val="Arial"/>
        <family val="2"/>
      </rPr>
      <t xml:space="preserve"> 1</t>
    </r>
    <r>
      <rPr>
        <sz val="12"/>
        <color indexed="8"/>
        <rFont val="華康粗圓體"/>
        <family val="3"/>
      </rPr>
      <t>）</t>
    </r>
  </si>
  <si>
    <r>
      <t>表</t>
    </r>
    <r>
      <rPr>
        <sz val="12"/>
        <color indexed="8"/>
        <rFont val="Arial"/>
        <family val="2"/>
      </rPr>
      <t>2-10</t>
    </r>
    <r>
      <rPr>
        <sz val="12"/>
        <color indexed="8"/>
        <rFont val="華康粗圓體"/>
        <family val="3"/>
      </rPr>
      <t>、滿</t>
    </r>
    <r>
      <rPr>
        <sz val="12"/>
        <color indexed="8"/>
        <rFont val="Arial"/>
        <family val="2"/>
      </rPr>
      <t>15</t>
    </r>
    <r>
      <rPr>
        <sz val="12"/>
        <color indexed="8"/>
        <rFont val="華康粗圓體"/>
        <family val="3"/>
      </rPr>
      <t>歲以上現住原住民教育程度（續</t>
    </r>
    <r>
      <rPr>
        <sz val="12"/>
        <color indexed="8"/>
        <rFont val="Arial"/>
        <family val="2"/>
      </rPr>
      <t xml:space="preserve"> 2 </t>
    </r>
    <r>
      <rPr>
        <sz val="12"/>
        <color indexed="8"/>
        <rFont val="華康粗圓體"/>
        <family val="3"/>
      </rPr>
      <t>完）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</si>
</sst>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_(* #,##0_);_(* \(#,##0\);_(* &quot;-&quot;??_);_(@_)"/>
    <numFmt numFmtId="199" formatCode="#,##0;\-#,###;&quot;-&quot;"/>
    <numFmt numFmtId="200" formatCode="\ #,##0;\-\ #,##0;\ &quot;-&quot;"/>
    <numFmt numFmtId="201" formatCode="#,##0.0;[Red]#,##0.0"/>
    <numFmt numFmtId="202" formatCode="#,##0_);[Red]\(#,##0\)"/>
    <numFmt numFmtId="203" formatCode="#,##0.0"/>
    <numFmt numFmtId="204" formatCode="0.0_ "/>
    <numFmt numFmtId="205" formatCode="0.00_ "/>
    <numFmt numFmtId="206" formatCode="_-* #,##0.0_-;\-* #,##0.0_-;_-* &quot;-&quot;??_-;_-@_-"/>
    <numFmt numFmtId="207" formatCode="#,##0.00_ "/>
    <numFmt numFmtId="208" formatCode="_-* #,##0_-;\-* #,##0_-;_-* &quot;-&quot;??_-;_-@_-"/>
    <numFmt numFmtId="209" formatCode="0;_Ā"/>
    <numFmt numFmtId="210" formatCode="0;_⠀"/>
    <numFmt numFmtId="211" formatCode="0.000000_ "/>
    <numFmt numFmtId="212" formatCode="0.00000_ "/>
    <numFmt numFmtId="213" formatCode="0.0000_ "/>
    <numFmt numFmtId="214" formatCode="0.000_ "/>
    <numFmt numFmtId="215" formatCode="m&quot;月&quot;d&quot;日&quot;"/>
    <numFmt numFmtId="216" formatCode="0.0;_⠀"/>
    <numFmt numFmtId="217" formatCode="0.00;_⠀"/>
    <numFmt numFmtId="218" formatCode="0.0000000_ "/>
    <numFmt numFmtId="219" formatCode="0.0000E+00"/>
    <numFmt numFmtId="220" formatCode="0.000E+00"/>
    <numFmt numFmtId="221" formatCode="0.0E+00"/>
    <numFmt numFmtId="222" formatCode="0E+00"/>
    <numFmt numFmtId="223" formatCode="0_ "/>
    <numFmt numFmtId="224" formatCode="#,##0.000;[Red]#,##0.000"/>
    <numFmt numFmtId="225" formatCode="#,##0.0;\-#,##0.0"/>
    <numFmt numFmtId="226" formatCode="_-* #,##0.000000_-;\-* #,##0.000000_-;_-* &quot;-&quot;??_-;_-@_-"/>
    <numFmt numFmtId="227" formatCode="_-* #,##0.0000000_-;\-* #,##0.0000000_-;_-* &quot;-&quot;??_-;_-@_-"/>
    <numFmt numFmtId="228" formatCode="_-* ##0_-;\-* #,##0\-;_-* &quot;-&quot;_-;_-@_-"/>
  </numFmts>
  <fonts count="54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8.5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sz val="9"/>
      <name val="Arial"/>
      <family val="2"/>
    </font>
    <font>
      <sz val="7.5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6.5"/>
      <name val="Arial Narrow"/>
      <family val="2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7"/>
      <name val="華康粗圓體"/>
      <family val="3"/>
    </font>
    <font>
      <sz val="7"/>
      <color indexed="8"/>
      <name val="華康粗圓體"/>
      <family val="3"/>
    </font>
    <font>
      <sz val="6.5"/>
      <name val="華康粗圓體"/>
      <family val="3"/>
    </font>
    <font>
      <sz val="9"/>
      <color indexed="8"/>
      <name val="華康粗圓體"/>
      <family val="3"/>
    </font>
    <font>
      <sz val="9"/>
      <name val="華康中黑體"/>
      <family val="3"/>
    </font>
    <font>
      <vertAlign val="superscript"/>
      <sz val="9"/>
      <name val="Arial Narrow"/>
      <family val="2"/>
    </font>
    <font>
      <sz val="8.5"/>
      <name val="華康中黑體"/>
      <family val="3"/>
    </font>
    <font>
      <sz val="7.5"/>
      <name val="華康中黑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7.5"/>
      <color indexed="8"/>
      <name val="華康中黑體"/>
      <family val="3"/>
    </font>
    <font>
      <sz val="7.5"/>
      <color indexed="8"/>
      <name val="Arial Narrow"/>
      <family val="2"/>
    </font>
    <font>
      <sz val="8.5"/>
      <name val="新細明體"/>
      <family val="1"/>
    </font>
    <font>
      <sz val="9"/>
      <color indexed="8"/>
      <name val="華康中黑體"/>
      <family val="3"/>
    </font>
    <font>
      <sz val="8"/>
      <name val="華康中黑體"/>
      <family val="3"/>
    </font>
    <font>
      <sz val="7.5"/>
      <color indexed="8"/>
      <name val="華康粗圓體"/>
      <family val="3"/>
    </font>
    <font>
      <sz val="11.5"/>
      <name val="Arial"/>
      <family val="2"/>
    </font>
    <font>
      <sz val="11.5"/>
      <name val="華康粗圓體"/>
      <family val="3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華康中黑體"/>
      <family val="3"/>
    </font>
    <font>
      <b/>
      <sz val="8"/>
      <color indexed="8"/>
      <name val="Arial Narrow"/>
      <family val="2"/>
    </font>
    <font>
      <sz val="10"/>
      <color indexed="8"/>
      <name val="華康粗圓體"/>
      <family val="3"/>
    </font>
    <font>
      <b/>
      <sz val="9"/>
      <color indexed="8"/>
      <name val="Arial Narrow"/>
      <family val="2"/>
    </font>
    <font>
      <sz val="8"/>
      <name val="華康粗圓體"/>
      <family val="3"/>
    </font>
    <font>
      <sz val="11.5"/>
      <color indexed="8"/>
      <name val="Arial"/>
      <family val="2"/>
    </font>
    <font>
      <sz val="11.5"/>
      <color indexed="8"/>
      <name val="華康粗圓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5" fillId="0" borderId="1" xfId="0" applyFont="1" applyBorder="1" applyAlignment="1" quotePrefix="1">
      <alignment horizontal="distributed" vertical="center"/>
    </xf>
    <xf numFmtId="19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194" fontId="5" fillId="0" borderId="3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4" fontId="5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 wrapText="1"/>
    </xf>
    <xf numFmtId="37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3" fontId="5" fillId="0" borderId="1" xfId="16" applyNumberFormat="1" applyFont="1" applyBorder="1" applyAlignment="1">
      <alignment vertical="center"/>
    </xf>
    <xf numFmtId="3" fontId="5" fillId="0" borderId="0" xfId="16" applyNumberFormat="1" applyFont="1" applyAlignment="1">
      <alignment horizontal="distributed" vertical="center"/>
    </xf>
    <xf numFmtId="179" fontId="5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 quotePrefix="1">
      <alignment horizontal="left" vertical="center"/>
    </xf>
    <xf numFmtId="0" fontId="12" fillId="0" borderId="3" xfId="0" applyFont="1" applyBorder="1" applyAlignment="1" quotePrefix="1">
      <alignment horizontal="center" vertical="center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Continuous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distributed" vertical="distributed"/>
    </xf>
    <xf numFmtId="3" fontId="5" fillId="0" borderId="0" xfId="0" applyNumberFormat="1" applyFont="1" applyBorder="1" applyAlignment="1">
      <alignment vertical="center"/>
    </xf>
    <xf numFmtId="198" fontId="5" fillId="0" borderId="0" xfId="15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79" fontId="5" fillId="0" borderId="12" xfId="15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3" fontId="5" fillId="0" borderId="0" xfId="16" applyNumberFormat="1" applyFont="1" applyAlignment="1">
      <alignment vertical="center"/>
    </xf>
    <xf numFmtId="198" fontId="5" fillId="0" borderId="0" xfId="15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 quotePrefix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 quotePrefix="1">
      <alignment horizontal="right" vertical="center"/>
    </xf>
    <xf numFmtId="41" fontId="16" fillId="0" borderId="6" xfId="16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9" fontId="5" fillId="0" borderId="13" xfId="15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12" fillId="0" borderId="14" xfId="0" applyFont="1" applyBorder="1" applyAlignment="1" quotePrefix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wrapText="1"/>
    </xf>
    <xf numFmtId="194" fontId="5" fillId="0" borderId="6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19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3" fontId="18" fillId="0" borderId="4" xfId="0" applyNumberFormat="1" applyFont="1" applyBorder="1" applyAlignment="1">
      <alignment horizontal="left" vertical="center" wrapText="1"/>
    </xf>
    <xf numFmtId="179" fontId="5" fillId="0" borderId="19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Continuous" vertical="center"/>
    </xf>
    <xf numFmtId="3" fontId="18" fillId="0" borderId="8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179" fontId="5" fillId="0" borderId="1" xfId="15" applyNumberFormat="1" applyFont="1" applyBorder="1" applyAlignment="1" quotePrefix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24" fillId="0" borderId="3" xfId="0" applyFont="1" applyBorder="1" applyAlignment="1">
      <alignment horizontal="left" vertical="center"/>
    </xf>
    <xf numFmtId="179" fontId="5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4" fontId="25" fillId="0" borderId="1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left" vertical="center"/>
    </xf>
    <xf numFmtId="4" fontId="5" fillId="0" borderId="6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5" fillId="0" borderId="0" xfId="0" applyFont="1" applyFill="1" applyAlignment="1">
      <alignment horizontal="left" vertical="center"/>
    </xf>
    <xf numFmtId="3" fontId="2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" fontId="28" fillId="0" borderId="1" xfId="0" applyNumberFormat="1" applyFont="1" applyBorder="1" applyAlignment="1">
      <alignment horizontal="right" vertical="center"/>
    </xf>
    <xf numFmtId="0" fontId="18" fillId="0" borderId="4" xfId="0" applyFont="1" applyBorder="1" applyAlignment="1" quotePrefix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5" fillId="0" borderId="0" xfId="0" applyFont="1" applyAlignment="1" quotePrefix="1">
      <alignment horizontal="distributed" vertical="center"/>
    </xf>
    <xf numFmtId="3" fontId="5" fillId="0" borderId="8" xfId="0" applyNumberFormat="1" applyFont="1" applyBorder="1" applyAlignment="1">
      <alignment horizontal="center" vertical="center"/>
    </xf>
    <xf numFmtId="41" fontId="16" fillId="0" borderId="18" xfId="16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 quotePrefix="1">
      <alignment horizontal="distributed" vertical="center"/>
      <protection locked="0"/>
    </xf>
    <xf numFmtId="3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08" fontId="5" fillId="0" borderId="0" xfId="15" applyNumberFormat="1" applyFont="1" applyFill="1" applyAlignment="1">
      <alignment vertical="center"/>
    </xf>
    <xf numFmtId="179" fontId="5" fillId="0" borderId="19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9" fontId="5" fillId="0" borderId="0" xfId="0" applyNumberFormat="1" applyFont="1" applyAlignment="1">
      <alignment vertical="center"/>
    </xf>
    <xf numFmtId="3" fontId="18" fillId="0" borderId="23" xfId="0" applyNumberFormat="1" applyFont="1" applyBorder="1" applyAlignment="1">
      <alignment horizontal="centerContinuous" vertical="center"/>
    </xf>
    <xf numFmtId="3" fontId="18" fillId="0" borderId="24" xfId="0" applyNumberFormat="1" applyFont="1" applyBorder="1" applyAlignment="1">
      <alignment horizontal="centerContinuous" vertical="center"/>
    </xf>
    <xf numFmtId="3" fontId="5" fillId="0" borderId="25" xfId="0" applyNumberFormat="1" applyFont="1" applyBorder="1" applyAlignment="1">
      <alignment horizontal="centerContinuous" vertical="center"/>
    </xf>
    <xf numFmtId="3" fontId="5" fillId="0" borderId="26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left" vertical="center"/>
    </xf>
    <xf numFmtId="3" fontId="18" fillId="0" borderId="2" xfId="0" applyNumberFormat="1" applyFont="1" applyBorder="1" applyAlignment="1">
      <alignment vertical="center"/>
    </xf>
    <xf numFmtId="223" fontId="5" fillId="0" borderId="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31" fillId="0" borderId="25" xfId="0" applyNumberFormat="1" applyFont="1" applyBorder="1" applyAlignment="1">
      <alignment horizontal="right"/>
    </xf>
    <xf numFmtId="3" fontId="32" fillId="0" borderId="28" xfId="0" applyNumberFormat="1" applyFont="1" applyBorder="1" applyAlignment="1">
      <alignment horizontal="right"/>
    </xf>
    <xf numFmtId="3" fontId="32" fillId="0" borderId="25" xfId="0" applyNumberFormat="1" applyFont="1" applyBorder="1" applyAlignment="1">
      <alignment horizontal="right"/>
    </xf>
    <xf numFmtId="0" fontId="12" fillId="0" borderId="2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wrapText="1" shrinkToFit="1"/>
    </xf>
    <xf numFmtId="3" fontId="21" fillId="0" borderId="29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 quotePrefix="1">
      <alignment horizontal="left" vertical="center"/>
    </xf>
    <xf numFmtId="3" fontId="18" fillId="0" borderId="4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3" fontId="18" fillId="0" borderId="1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vertical="center"/>
    </xf>
    <xf numFmtId="223" fontId="14" fillId="0" borderId="0" xfId="0" applyNumberFormat="1" applyFont="1" applyFill="1" applyBorder="1" applyAlignment="1">
      <alignment vertical="center"/>
    </xf>
    <xf numFmtId="208" fontId="14" fillId="0" borderId="0" xfId="15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3" fontId="33" fillId="0" borderId="0" xfId="0" applyNumberFormat="1" applyFont="1" applyAlignment="1">
      <alignment horizontal="left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Fill="1" applyAlignment="1">
      <alignment vertical="center"/>
    </xf>
    <xf numFmtId="49" fontId="25" fillId="0" borderId="1" xfId="15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wrapText="1"/>
    </xf>
    <xf numFmtId="0" fontId="27" fillId="0" borderId="0" xfId="0" applyFont="1" applyAlignment="1" quotePrefix="1">
      <alignment horizontal="left" vertical="center"/>
    </xf>
    <xf numFmtId="0" fontId="10" fillId="0" borderId="0" xfId="0" applyFont="1" applyAlignment="1" quotePrefix="1">
      <alignment horizontal="left" vertical="center"/>
    </xf>
    <xf numFmtId="0" fontId="27" fillId="0" borderId="0" xfId="0" applyFont="1" applyAlignment="1">
      <alignment horizontal="left" vertical="center"/>
    </xf>
    <xf numFmtId="3" fontId="2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3" fontId="18" fillId="0" borderId="3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1" xfId="0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3" fontId="37" fillId="0" borderId="1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179" fontId="10" fillId="0" borderId="13" xfId="0" applyNumberFormat="1" applyFont="1" applyBorder="1" applyAlignment="1" applyProtection="1">
      <alignment horizontal="right" vertical="center"/>
      <protection locked="0"/>
    </xf>
    <xf numFmtId="179" fontId="10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 quotePrefix="1">
      <alignment horizontal="distributed" vertical="center"/>
      <protection locked="0"/>
    </xf>
    <xf numFmtId="0" fontId="38" fillId="0" borderId="5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 quotePrefix="1">
      <alignment horizontal="left" vertical="center"/>
      <protection locked="0"/>
    </xf>
    <xf numFmtId="0" fontId="14" fillId="0" borderId="3" xfId="0" applyFont="1" applyBorder="1" applyAlignment="1" applyProtection="1" quotePrefix="1">
      <alignment horizontal="center" vertical="center"/>
      <protection locked="0"/>
    </xf>
    <xf numFmtId="3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 quotePrefix="1">
      <alignment horizontal="center" vertical="center"/>
      <protection locked="0"/>
    </xf>
    <xf numFmtId="3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3" fontId="14" fillId="0" borderId="9" xfId="0" applyNumberFormat="1" applyFont="1" applyBorder="1" applyAlignment="1" applyProtection="1">
      <alignment horizontal="center" vertical="center"/>
      <protection locked="0"/>
    </xf>
    <xf numFmtId="3" fontId="14" fillId="0" borderId="9" xfId="0" applyNumberFormat="1" applyFont="1" applyBorder="1" applyAlignment="1" applyProtection="1">
      <alignment horizontal="centerContinuous" vertical="center"/>
      <protection locked="0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20" fillId="0" borderId="9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3" fontId="20" fillId="0" borderId="9" xfId="0" applyNumberFormat="1" applyFont="1" applyBorder="1" applyAlignment="1" applyProtection="1">
      <alignment horizontal="centerContinuous" vertical="center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 shrinkToFit="1"/>
      <protection locked="0"/>
    </xf>
    <xf numFmtId="3" fontId="20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distributed" vertical="distributed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3" fontId="14" fillId="0" borderId="6" xfId="0" applyNumberFormat="1" applyFont="1" applyBorder="1" applyAlignment="1" applyProtection="1">
      <alignment horizontal="center" vertical="center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distributed" vertical="center"/>
      <protection locked="0"/>
    </xf>
    <xf numFmtId="0" fontId="27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23" fontId="10" fillId="0" borderId="0" xfId="0" applyNumberFormat="1" applyFont="1" applyFill="1" applyBorder="1" applyAlignment="1">
      <alignment vertical="center"/>
    </xf>
    <xf numFmtId="208" fontId="10" fillId="0" borderId="0" xfId="15" applyNumberFormat="1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3" fontId="6" fillId="2" borderId="0" xfId="0" applyNumberFormat="1" applyFont="1" applyFill="1" applyAlignment="1" applyProtection="1">
      <alignment horizontal="distributed" vertical="center"/>
      <protection locked="0"/>
    </xf>
    <xf numFmtId="4" fontId="5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distributed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 quotePrefix="1">
      <alignment horizontal="distributed" vertical="center"/>
      <protection locked="0"/>
    </xf>
    <xf numFmtId="3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distributed" vertical="center"/>
      <protection locked="0"/>
    </xf>
    <xf numFmtId="0" fontId="6" fillId="2" borderId="6" xfId="0" applyFont="1" applyFill="1" applyBorder="1" applyAlignment="1" applyProtection="1">
      <alignment horizontal="distributed" vertical="center"/>
      <protection/>
    </xf>
    <xf numFmtId="3" fontId="6" fillId="2" borderId="19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Alignment="1" applyProtection="1">
      <alignment vertical="center"/>
      <protection locked="0"/>
    </xf>
    <xf numFmtId="0" fontId="14" fillId="2" borderId="7" xfId="0" applyFont="1" applyFill="1" applyBorder="1" applyAlignment="1" applyProtection="1" quotePrefix="1">
      <alignment horizontal="left" vertical="center"/>
      <protection locked="0"/>
    </xf>
    <xf numFmtId="0" fontId="14" fillId="2" borderId="3" xfId="0" applyFont="1" applyFill="1" applyBorder="1" applyAlignment="1" applyProtection="1" quotePrefix="1">
      <alignment horizontal="center" vertical="center"/>
      <protection locked="0"/>
    </xf>
    <xf numFmtId="3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 quotePrefix="1">
      <alignment horizontal="center" vertical="center"/>
      <protection locked="0"/>
    </xf>
    <xf numFmtId="3" fontId="14" fillId="2" borderId="2" xfId="0" applyNumberFormat="1" applyFont="1" applyFill="1" applyBorder="1" applyAlignment="1" applyProtection="1">
      <alignment horizontal="right" vertical="center"/>
      <protection locked="0"/>
    </xf>
    <xf numFmtId="3" fontId="14" fillId="2" borderId="2" xfId="0" applyNumberFormat="1" applyFont="1" applyFill="1" applyBorder="1" applyAlignment="1" applyProtection="1">
      <alignment horizontal="center" vertical="center"/>
      <protection locked="0"/>
    </xf>
    <xf numFmtId="3" fontId="14" fillId="2" borderId="9" xfId="0" applyNumberFormat="1" applyFont="1" applyFill="1" applyBorder="1" applyAlignment="1" applyProtection="1">
      <alignment horizontal="center" vertical="center"/>
      <protection locked="0"/>
    </xf>
    <xf numFmtId="3" fontId="14" fillId="2" borderId="9" xfId="0" applyNumberFormat="1" applyFont="1" applyFill="1" applyBorder="1" applyAlignment="1" applyProtection="1">
      <alignment horizontal="centerContinuous" vertical="center"/>
      <protection locked="0"/>
    </xf>
    <xf numFmtId="3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right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 quotePrefix="1">
      <alignment horizontal="distributed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179" fontId="10" fillId="2" borderId="13" xfId="15" applyNumberFormat="1" applyFont="1" applyFill="1" applyBorder="1" applyAlignment="1" applyProtection="1">
      <alignment horizontal="right" vertical="center"/>
      <protection locked="0"/>
    </xf>
    <xf numFmtId="179" fontId="10" fillId="2" borderId="12" xfId="15" applyNumberFormat="1" applyFont="1" applyFill="1" applyBorder="1" applyAlignment="1" applyProtection="1">
      <alignment horizontal="right" vertical="center"/>
      <protection locked="0"/>
    </xf>
    <xf numFmtId="0" fontId="27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223" fontId="10" fillId="2" borderId="0" xfId="0" applyNumberFormat="1" applyFont="1" applyFill="1" applyBorder="1" applyAlignment="1">
      <alignment vertical="center"/>
    </xf>
    <xf numFmtId="208" fontId="10" fillId="2" borderId="0" xfId="15" applyNumberFormat="1" applyFont="1" applyFill="1" applyAlignment="1">
      <alignment vertical="center"/>
    </xf>
    <xf numFmtId="179" fontId="6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horizontal="distributed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distributed" vertical="center"/>
    </xf>
    <xf numFmtId="3" fontId="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Continuous" vertical="center"/>
    </xf>
    <xf numFmtId="3" fontId="5" fillId="0" borderId="9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18" fillId="0" borderId="26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3" fontId="18" fillId="0" borderId="3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41" fontId="5" fillId="0" borderId="6" xfId="16" applyFont="1" applyBorder="1" applyAlignment="1">
      <alignment horizontal="center" vertical="center" wrapText="1"/>
    </xf>
    <xf numFmtId="41" fontId="5" fillId="0" borderId="18" xfId="16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4" fontId="5" fillId="2" borderId="0" xfId="0" applyNumberFormat="1" applyFont="1" applyFill="1" applyAlignment="1">
      <alignment horizontal="right" vertical="center"/>
    </xf>
    <xf numFmtId="0" fontId="41" fillId="2" borderId="0" xfId="0" applyNumberFormat="1" applyFont="1" applyFill="1" applyAlignment="1">
      <alignment/>
    </xf>
    <xf numFmtId="0" fontId="16" fillId="2" borderId="0" xfId="0" applyNumberFormat="1" applyFont="1" applyFill="1" applyAlignment="1">
      <alignment/>
    </xf>
    <xf numFmtId="0" fontId="6" fillId="2" borderId="7" xfId="0" applyFont="1" applyFill="1" applyBorder="1" applyAlignment="1" applyProtection="1" quotePrefix="1">
      <alignment horizontal="left" vertical="center"/>
      <protection locked="0"/>
    </xf>
    <xf numFmtId="0" fontId="6" fillId="2" borderId="33" xfId="0" applyFont="1" applyFill="1" applyBorder="1" applyAlignment="1" applyProtection="1" quotePrefix="1">
      <alignment horizontal="left" vertical="center"/>
      <protection locked="0"/>
    </xf>
    <xf numFmtId="0" fontId="6" fillId="2" borderId="3" xfId="0" applyFont="1" applyFill="1" applyBorder="1" applyAlignment="1" applyProtection="1" quotePrefix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81" fontId="16" fillId="2" borderId="0" xfId="0" applyNumberFormat="1" applyFont="1" applyFill="1" applyAlignment="1">
      <alignment/>
    </xf>
    <xf numFmtId="181" fontId="16" fillId="2" borderId="0" xfId="0" applyNumberFormat="1" applyFont="1" applyFill="1" applyAlignment="1">
      <alignment vertical="top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top"/>
    </xf>
    <xf numFmtId="0" fontId="16" fillId="2" borderId="1" xfId="0" applyNumberFormat="1" applyFont="1" applyFill="1" applyBorder="1" applyAlignment="1">
      <alignment/>
    </xf>
    <xf numFmtId="0" fontId="16" fillId="2" borderId="15" xfId="0" applyNumberFormat="1" applyFont="1" applyFill="1" applyBorder="1" applyAlignment="1">
      <alignment/>
    </xf>
    <xf numFmtId="0" fontId="16" fillId="2" borderId="0" xfId="0" applyNumberFormat="1" applyFont="1" applyFill="1" applyAlignment="1">
      <alignment vertical="center"/>
    </xf>
    <xf numFmtId="0" fontId="43" fillId="2" borderId="0" xfId="0" applyNumberFormat="1" applyFont="1" applyFill="1" applyAlignment="1">
      <alignment vertical="center"/>
    </xf>
    <xf numFmtId="0" fontId="16" fillId="2" borderId="34" xfId="0" applyNumberFormat="1" applyFont="1" applyFill="1" applyBorder="1" applyAlignment="1">
      <alignment/>
    </xf>
    <xf numFmtId="3" fontId="14" fillId="0" borderId="2" xfId="0" applyNumberFormat="1" applyFont="1" applyBorder="1" applyAlignment="1" applyProtection="1">
      <alignment horizontal="centerContinuous" vertical="center"/>
      <protection locked="0"/>
    </xf>
    <xf numFmtId="0" fontId="16" fillId="2" borderId="19" xfId="0" applyFont="1" applyFill="1" applyBorder="1" applyAlignment="1">
      <alignment/>
    </xf>
    <xf numFmtId="0" fontId="47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horizontal="distributed" vertical="center"/>
    </xf>
    <xf numFmtId="0" fontId="43" fillId="0" borderId="0" xfId="0" applyNumberFormat="1" applyFont="1" applyFill="1" applyAlignment="1">
      <alignment vertical="center"/>
    </xf>
    <xf numFmtId="0" fontId="43" fillId="2" borderId="0" xfId="0" applyNumberFormat="1" applyFont="1" applyFill="1" applyBorder="1" applyAlignment="1">
      <alignment horizontal="left" vertical="center"/>
    </xf>
    <xf numFmtId="0" fontId="43" fillId="2" borderId="1" xfId="0" applyNumberFormat="1" applyFont="1" applyFill="1" applyBorder="1" applyAlignment="1" applyProtection="1">
      <alignment horizontal="right" vertical="center"/>
      <protection/>
    </xf>
    <xf numFmtId="0" fontId="48" fillId="2" borderId="1" xfId="0" applyNumberFormat="1" applyFont="1" applyFill="1" applyBorder="1" applyAlignment="1">
      <alignment horizontal="centerContinuous" vertical="center"/>
    </xf>
    <xf numFmtId="0" fontId="43" fillId="2" borderId="0" xfId="0" applyNumberFormat="1" applyFont="1" applyFill="1" applyBorder="1" applyAlignment="1">
      <alignment horizontal="right" vertical="center"/>
    </xf>
    <xf numFmtId="228" fontId="43" fillId="2" borderId="0" xfId="0" applyNumberFormat="1" applyFont="1" applyFill="1" applyAlignment="1">
      <alignment vertical="center"/>
    </xf>
    <xf numFmtId="0" fontId="47" fillId="2" borderId="0" xfId="0" applyNumberFormat="1" applyFont="1" applyFill="1" applyBorder="1" applyAlignment="1">
      <alignment horizontal="right" vertical="center"/>
    </xf>
    <xf numFmtId="228" fontId="43" fillId="2" borderId="0" xfId="0" applyNumberFormat="1" applyFont="1" applyFill="1" applyBorder="1" applyAlignment="1">
      <alignment horizontal="center" vertical="center"/>
    </xf>
    <xf numFmtId="0" fontId="48" fillId="2" borderId="0" xfId="0" applyNumberFormat="1" applyFont="1" applyFill="1" applyBorder="1" applyAlignment="1">
      <alignment vertical="center"/>
    </xf>
    <xf numFmtId="0" fontId="43" fillId="2" borderId="0" xfId="0" applyNumberFormat="1" applyFont="1" applyFill="1" applyBorder="1" applyAlignment="1">
      <alignment vertical="center"/>
    </xf>
    <xf numFmtId="0" fontId="43" fillId="2" borderId="0" xfId="16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/>
    </xf>
    <xf numFmtId="0" fontId="43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 applyProtection="1">
      <alignment horizontal="right" vertical="center"/>
      <protection locked="0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3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left" vertical="center"/>
    </xf>
    <xf numFmtId="179" fontId="16" fillId="2" borderId="12" xfId="0" applyNumberFormat="1" applyFont="1" applyFill="1" applyBorder="1" applyAlignment="1" applyProtection="1">
      <alignment horizontal="right" vertical="center"/>
      <protection/>
    </xf>
    <xf numFmtId="179" fontId="34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 quotePrefix="1">
      <alignment horizontal="distributed" vertical="center"/>
      <protection locked="0"/>
    </xf>
    <xf numFmtId="0" fontId="36" fillId="2" borderId="1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vertical="center"/>
    </xf>
    <xf numFmtId="0" fontId="44" fillId="2" borderId="1" xfId="0" applyNumberFormat="1" applyFont="1" applyFill="1" applyBorder="1" applyAlignment="1">
      <alignment vertical="center"/>
    </xf>
    <xf numFmtId="0" fontId="44" fillId="2" borderId="15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6" fillId="2" borderId="15" xfId="0" applyNumberFormat="1" applyFont="1" applyFill="1" applyBorder="1" applyAlignment="1">
      <alignment horizontal="center" vertical="center" wrapText="1"/>
    </xf>
    <xf numFmtId="0" fontId="38" fillId="2" borderId="31" xfId="0" applyNumberFormat="1" applyFont="1" applyFill="1" applyBorder="1" applyAlignment="1" applyProtection="1">
      <alignment horizontal="left" vertical="center" wrapText="1"/>
      <protection/>
    </xf>
    <xf numFmtId="181" fontId="16" fillId="2" borderId="0" xfId="0" applyNumberFormat="1" applyFont="1" applyFill="1" applyAlignment="1">
      <alignment vertical="center"/>
    </xf>
    <xf numFmtId="0" fontId="38" fillId="2" borderId="5" xfId="0" applyNumberFormat="1" applyFont="1" applyFill="1" applyBorder="1" applyAlignment="1" applyProtection="1">
      <alignment horizontal="left" vertical="center" wrapText="1"/>
      <protection/>
    </xf>
    <xf numFmtId="0" fontId="16" fillId="2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>
      <alignment horizontal="distributed" vertical="center"/>
    </xf>
    <xf numFmtId="0" fontId="16" fillId="0" borderId="0" xfId="0" applyNumberFormat="1" applyFont="1" applyFill="1" applyAlignment="1">
      <alignment vertical="center"/>
    </xf>
    <xf numFmtId="0" fontId="44" fillId="2" borderId="19" xfId="0" applyFont="1" applyFill="1" applyBorder="1" applyAlignment="1">
      <alignment vertical="center"/>
    </xf>
    <xf numFmtId="0" fontId="24" fillId="2" borderId="31" xfId="0" applyNumberFormat="1" applyFont="1" applyFill="1" applyBorder="1" applyAlignment="1" applyProtection="1">
      <alignment horizontal="left" vertical="center" wrapText="1"/>
      <protection/>
    </xf>
    <xf numFmtId="0" fontId="24" fillId="2" borderId="5" xfId="0" applyNumberFormat="1" applyFont="1" applyFill="1" applyBorder="1" applyAlignment="1" applyProtection="1">
      <alignment horizontal="left" vertical="center" wrapText="1"/>
      <protection/>
    </xf>
    <xf numFmtId="0" fontId="41" fillId="2" borderId="0" xfId="0" applyNumberFormat="1" applyFont="1" applyFill="1" applyAlignment="1">
      <alignment vertical="center"/>
    </xf>
    <xf numFmtId="0" fontId="16" fillId="2" borderId="1" xfId="0" applyNumberFormat="1" applyFont="1" applyFill="1" applyBorder="1" applyAlignment="1">
      <alignment vertical="center"/>
    </xf>
    <xf numFmtId="0" fontId="16" fillId="2" borderId="1" xfId="16" applyNumberFormat="1" applyFont="1" applyFill="1" applyBorder="1" applyAlignment="1">
      <alignment horizontal="right" vertical="center"/>
    </xf>
    <xf numFmtId="0" fontId="50" fillId="2" borderId="1" xfId="0" applyNumberFormat="1" applyFont="1" applyFill="1" applyBorder="1" applyAlignment="1">
      <alignment horizontal="centerContinuous" vertical="center"/>
    </xf>
    <xf numFmtId="0" fontId="16" fillId="2" borderId="1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horizontal="center" vertical="center"/>
    </xf>
    <xf numFmtId="179" fontId="16" fillId="2" borderId="13" xfId="16" applyNumberFormat="1" applyFont="1" applyFill="1" applyBorder="1" applyAlignment="1">
      <alignment horizontal="right" vertical="center"/>
    </xf>
    <xf numFmtId="179" fontId="16" fillId="2" borderId="12" xfId="16" applyNumberFormat="1" applyFont="1" applyFill="1" applyBorder="1" applyAlignment="1">
      <alignment horizontal="right" vertical="center"/>
    </xf>
    <xf numFmtId="189" fontId="5" fillId="0" borderId="3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horizontal="right" vertical="center"/>
    </xf>
    <xf numFmtId="183" fontId="5" fillId="0" borderId="17" xfId="0" applyNumberFormat="1" applyFont="1" applyFill="1" applyBorder="1" applyAlignment="1">
      <alignment vertical="center"/>
    </xf>
    <xf numFmtId="189" fontId="5" fillId="0" borderId="36" xfId="0" applyNumberFormat="1" applyFont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9" fontId="5" fillId="0" borderId="36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89" fontId="5" fillId="0" borderId="37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 vertical="center"/>
    </xf>
    <xf numFmtId="183" fontId="5" fillId="0" borderId="1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horizontal="right" vertical="center"/>
    </xf>
    <xf numFmtId="179" fontId="18" fillId="0" borderId="17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 quotePrefix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179" fontId="5" fillId="0" borderId="0" xfId="15" applyNumberFormat="1" applyFont="1" applyFill="1" applyBorder="1" applyAlignment="1" quotePrefix="1">
      <alignment horizontal="right" vertical="center"/>
    </xf>
    <xf numFmtId="179" fontId="5" fillId="0" borderId="0" xfId="15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18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Fill="1" applyBorder="1" applyAlignment="1" quotePrefix="1">
      <alignment horizontal="right"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17" xfId="0" applyNumberFormat="1" applyFont="1" applyFill="1" applyBorder="1" applyAlignment="1" quotePrefix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 quotePrefix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 quotePrefix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79" fontId="18" fillId="0" borderId="0" xfId="15" applyNumberFormat="1" applyFont="1" applyBorder="1" applyAlignment="1">
      <alignment horizontal="right" vertical="center"/>
    </xf>
    <xf numFmtId="179" fontId="5" fillId="0" borderId="0" xfId="15" applyNumberFormat="1" applyFont="1" applyBorder="1" applyAlignment="1">
      <alignment horizontal="right" vertical="center"/>
    </xf>
    <xf numFmtId="183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9" fontId="10" fillId="0" borderId="17" xfId="0" applyNumberFormat="1" applyFont="1" applyBorder="1" applyAlignment="1" quotePrefix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vertical="center"/>
    </xf>
    <xf numFmtId="179" fontId="5" fillId="0" borderId="0" xfId="15" applyNumberFormat="1" applyFont="1" applyBorder="1" applyAlignment="1" quotePrefix="1">
      <alignment horizontal="right" vertical="center"/>
    </xf>
    <xf numFmtId="179" fontId="18" fillId="0" borderId="1" xfId="15" applyNumberFormat="1" applyFont="1" applyBorder="1" applyAlignment="1">
      <alignment horizontal="right" vertical="center"/>
    </xf>
    <xf numFmtId="179" fontId="5" fillId="0" borderId="36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5" fillId="0" borderId="37" xfId="0" applyNumberFormat="1" applyFont="1" applyBorder="1" applyAlignment="1" applyProtection="1">
      <alignment horizontal="right" vertical="center"/>
      <protection/>
    </xf>
    <xf numFmtId="179" fontId="5" fillId="0" borderId="1" xfId="0" applyNumberFormat="1" applyFont="1" applyBorder="1" applyAlignment="1" applyProtection="1">
      <alignment horizontal="right" vertical="center"/>
      <protection/>
    </xf>
    <xf numFmtId="183" fontId="5" fillId="0" borderId="1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 applyProtection="1">
      <alignment horizontal="right" vertical="center"/>
      <protection locked="0"/>
    </xf>
    <xf numFmtId="179" fontId="10" fillId="0" borderId="0" xfId="0" applyNumberFormat="1" applyFont="1" applyBorder="1" applyAlignment="1" applyProtection="1">
      <alignment horizontal="right" vertical="center"/>
      <protection locked="0"/>
    </xf>
    <xf numFmtId="179" fontId="10" fillId="0" borderId="0" xfId="15" applyNumberFormat="1" applyFont="1" applyFill="1" applyBorder="1" applyAlignment="1" applyProtection="1">
      <alignment horizontal="right" vertical="center"/>
      <protection locked="0"/>
    </xf>
    <xf numFmtId="179" fontId="10" fillId="0" borderId="0" xfId="15" applyNumberFormat="1" applyFont="1" applyBorder="1" applyAlignment="1" applyProtection="1" quotePrefix="1">
      <alignment horizontal="right" vertical="center"/>
      <protection locked="0"/>
    </xf>
    <xf numFmtId="179" fontId="10" fillId="0" borderId="0" xfId="15" applyNumberFormat="1" applyFont="1" applyBorder="1" applyAlignment="1" applyProtection="1">
      <alignment horizontal="right" vertical="center"/>
      <protection locked="0"/>
    </xf>
    <xf numFmtId="3" fontId="6" fillId="0" borderId="19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179" fontId="10" fillId="2" borderId="17" xfId="15" applyNumberFormat="1" applyFont="1" applyFill="1" applyBorder="1" applyAlignment="1" applyProtection="1">
      <alignment horizontal="right" vertical="center"/>
      <protection locked="0"/>
    </xf>
    <xf numFmtId="179" fontId="10" fillId="2" borderId="0" xfId="15" applyNumberFormat="1" applyFont="1" applyFill="1" applyBorder="1" applyAlignment="1" applyProtection="1">
      <alignment horizontal="right" vertical="center"/>
      <protection locked="0"/>
    </xf>
    <xf numFmtId="179" fontId="10" fillId="2" borderId="0" xfId="15" applyNumberFormat="1" applyFont="1" applyFill="1" applyBorder="1" applyAlignment="1" applyProtection="1" quotePrefix="1">
      <alignment horizontal="right" vertical="center"/>
      <protection locked="0"/>
    </xf>
    <xf numFmtId="179" fontId="19" fillId="2" borderId="0" xfId="15" applyNumberFormat="1" applyFont="1" applyFill="1" applyBorder="1" applyAlignment="1" applyProtection="1">
      <alignment horizontal="right" vertical="center"/>
      <protection locked="0"/>
    </xf>
    <xf numFmtId="179" fontId="10" fillId="2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179" fontId="12" fillId="0" borderId="13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179" fontId="12" fillId="0" borderId="17" xfId="15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 quotePrefix="1">
      <alignment horizontal="right" vertical="center"/>
    </xf>
    <xf numFmtId="179" fontId="6" fillId="0" borderId="0" xfId="15" applyNumberFormat="1" applyFont="1" applyBorder="1" applyAlignment="1">
      <alignment horizontal="right" vertical="center"/>
    </xf>
    <xf numFmtId="179" fontId="51" fillId="0" borderId="0" xfId="15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36" xfId="15" applyNumberFormat="1" applyFont="1" applyFill="1" applyBorder="1" applyAlignment="1">
      <alignment horizontal="right" vertical="center"/>
    </xf>
    <xf numFmtId="179" fontId="18" fillId="0" borderId="0" xfId="15" applyNumberFormat="1" applyFont="1" applyFill="1" applyBorder="1" applyAlignment="1">
      <alignment horizontal="right" vertical="center"/>
    </xf>
    <xf numFmtId="179" fontId="5" fillId="0" borderId="37" xfId="15" applyNumberFormat="1" applyFont="1" applyFill="1" applyBorder="1" applyAlignment="1">
      <alignment horizontal="right" vertical="center"/>
    </xf>
    <xf numFmtId="179" fontId="5" fillId="0" borderId="1" xfId="15" applyNumberFormat="1" applyFont="1" applyFill="1" applyBorder="1" applyAlignment="1">
      <alignment horizontal="right" vertical="center"/>
    </xf>
    <xf numFmtId="179" fontId="5" fillId="0" borderId="1" xfId="15" applyNumberFormat="1" applyFont="1" applyFill="1" applyBorder="1" applyAlignment="1" quotePrefix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1" xfId="16" applyNumberFormat="1" applyFont="1" applyBorder="1" applyAlignment="1">
      <alignment horizontal="right" vertical="center"/>
    </xf>
    <xf numFmtId="179" fontId="5" fillId="0" borderId="1" xfId="0" applyNumberFormat="1" applyFont="1" applyBorder="1" applyAlignment="1" quotePrefix="1">
      <alignment horizontal="right" vertical="center"/>
    </xf>
    <xf numFmtId="179" fontId="5" fillId="0" borderId="13" xfId="15" applyNumberFormat="1" applyFont="1" applyBorder="1" applyAlignment="1">
      <alignment vertical="center"/>
    </xf>
    <xf numFmtId="179" fontId="5" fillId="0" borderId="17" xfId="15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79" fontId="5" fillId="0" borderId="19" xfId="15" applyNumberFormat="1" applyFont="1" applyBorder="1" applyAlignment="1">
      <alignment horizontal="right" vertical="center"/>
    </xf>
    <xf numFmtId="179" fontId="5" fillId="0" borderId="1" xfId="15" applyNumberFormat="1" applyFont="1" applyBorder="1" applyAlignment="1">
      <alignment horizontal="right" vertical="center"/>
    </xf>
    <xf numFmtId="179" fontId="43" fillId="2" borderId="13" xfId="0" applyNumberFormat="1" applyFont="1" applyFill="1" applyBorder="1" applyAlignment="1" applyProtection="1">
      <alignment horizontal="right" vertical="center"/>
      <protection/>
    </xf>
    <xf numFmtId="179" fontId="43" fillId="2" borderId="17" xfId="0" applyNumberFormat="1" applyFont="1" applyFill="1" applyBorder="1" applyAlignment="1" applyProtection="1">
      <alignment horizontal="right" vertical="center"/>
      <protection/>
    </xf>
    <xf numFmtId="179" fontId="43" fillId="2" borderId="12" xfId="0" applyNumberFormat="1" applyFont="1" applyFill="1" applyBorder="1" applyAlignment="1" applyProtection="1">
      <alignment horizontal="right" vertical="center"/>
      <protection/>
    </xf>
    <xf numFmtId="179" fontId="43" fillId="2" borderId="0" xfId="0" applyNumberFormat="1" applyFont="1" applyFill="1" applyBorder="1" applyAlignment="1" applyProtection="1">
      <alignment horizontal="right" vertical="center"/>
      <protection/>
    </xf>
    <xf numFmtId="179" fontId="46" fillId="2" borderId="0" xfId="0" applyNumberFormat="1" applyFont="1" applyFill="1" applyBorder="1" applyAlignment="1" applyProtection="1">
      <alignment horizontal="right" vertical="center"/>
      <protection/>
    </xf>
    <xf numFmtId="179" fontId="43" fillId="2" borderId="0" xfId="0" applyNumberFormat="1" applyFont="1" applyFill="1" applyBorder="1" applyAlignment="1">
      <alignment horizontal="right" vertical="center"/>
    </xf>
    <xf numFmtId="179" fontId="43" fillId="2" borderId="0" xfId="0" applyNumberFormat="1" applyFont="1" applyFill="1" applyBorder="1" applyAlignment="1">
      <alignment vertical="center"/>
    </xf>
    <xf numFmtId="179" fontId="46" fillId="2" borderId="0" xfId="0" applyNumberFormat="1" applyFont="1" applyFill="1" applyBorder="1" applyAlignment="1">
      <alignment horizontal="right" vertical="center"/>
    </xf>
    <xf numFmtId="179" fontId="16" fillId="2" borderId="0" xfId="0" applyNumberFormat="1" applyFont="1" applyFill="1" applyBorder="1" applyAlignment="1" applyProtection="1">
      <alignment horizontal="right" vertical="center"/>
      <protection/>
    </xf>
    <xf numFmtId="179" fontId="16" fillId="2" borderId="0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/>
    </xf>
    <xf numFmtId="179" fontId="34" fillId="2" borderId="13" xfId="0" applyNumberFormat="1" applyFont="1" applyFill="1" applyBorder="1" applyAlignment="1" applyProtection="1">
      <alignment horizontal="right" vertical="center"/>
      <protection/>
    </xf>
    <xf numFmtId="179" fontId="34" fillId="2" borderId="17" xfId="0" applyNumberFormat="1" applyFont="1" applyFill="1" applyBorder="1" applyAlignment="1" applyProtection="1">
      <alignment horizontal="right" vertical="center"/>
      <protection/>
    </xf>
    <xf numFmtId="179" fontId="34" fillId="2" borderId="17" xfId="0" applyNumberFormat="1" applyFont="1" applyFill="1" applyBorder="1" applyAlignment="1">
      <alignment/>
    </xf>
    <xf numFmtId="179" fontId="34" fillId="2" borderId="0" xfId="0" applyNumberFormat="1" applyFont="1" applyFill="1" applyBorder="1" applyAlignment="1" applyProtection="1">
      <alignment horizontal="right" vertical="center"/>
      <protection/>
    </xf>
    <xf numFmtId="179" fontId="38" fillId="2" borderId="0" xfId="0" applyNumberFormat="1" applyFont="1" applyFill="1" applyBorder="1" applyAlignment="1" applyProtection="1">
      <alignment horizontal="right" vertical="center"/>
      <protection/>
    </xf>
    <xf numFmtId="179" fontId="34" fillId="2" borderId="0" xfId="0" applyNumberFormat="1" applyFont="1" applyFill="1" applyBorder="1" applyAlignment="1">
      <alignment/>
    </xf>
    <xf numFmtId="179" fontId="34" fillId="2" borderId="0" xfId="0" applyNumberFormat="1" applyFont="1" applyFill="1" applyBorder="1" applyAlignment="1">
      <alignment vertical="top"/>
    </xf>
    <xf numFmtId="179" fontId="34" fillId="2" borderId="0" xfId="0" applyNumberFormat="1" applyFont="1" applyFill="1" applyBorder="1" applyAlignment="1">
      <alignment horizontal="right" vertical="center"/>
    </xf>
    <xf numFmtId="179" fontId="34" fillId="2" borderId="0" xfId="0" applyNumberFormat="1" applyFont="1" applyFill="1" applyBorder="1" applyAlignment="1">
      <alignment vertical="center"/>
    </xf>
    <xf numFmtId="179" fontId="38" fillId="2" borderId="0" xfId="0" applyNumberFormat="1" applyFont="1" applyFill="1" applyBorder="1" applyAlignment="1">
      <alignment horizontal="right" vertical="center"/>
    </xf>
    <xf numFmtId="179" fontId="34" fillId="2" borderId="0" xfId="0" applyNumberFormat="1" applyFont="1" applyFill="1" applyBorder="1" applyAlignment="1">
      <alignment/>
    </xf>
    <xf numFmtId="179" fontId="34" fillId="2" borderId="0" xfId="0" applyNumberFormat="1" applyFont="1" applyFill="1" applyBorder="1" applyAlignment="1" applyProtection="1">
      <alignment horizontal="right" vertical="top"/>
      <protection/>
    </xf>
    <xf numFmtId="179" fontId="38" fillId="2" borderId="0" xfId="0" applyNumberFormat="1" applyFont="1" applyFill="1" applyBorder="1" applyAlignment="1">
      <alignment horizontal="right"/>
    </xf>
    <xf numFmtId="179" fontId="38" fillId="2" borderId="0" xfId="0" applyNumberFormat="1" applyFont="1" applyFill="1" applyBorder="1" applyAlignment="1" applyProtection="1">
      <alignment horizontal="right" vertical="top"/>
      <protection/>
    </xf>
    <xf numFmtId="179" fontId="34" fillId="2" borderId="0" xfId="0" applyNumberFormat="1" applyFont="1" applyFill="1" applyBorder="1" applyAlignment="1">
      <alignment horizontal="right"/>
    </xf>
    <xf numFmtId="179" fontId="34" fillId="2" borderId="0" xfId="0" applyNumberFormat="1" applyFont="1" applyFill="1" applyBorder="1" applyAlignment="1">
      <alignment horizontal="right" vertical="top"/>
    </xf>
    <xf numFmtId="179" fontId="16" fillId="2" borderId="13" xfId="0" applyNumberFormat="1" applyFont="1" applyFill="1" applyBorder="1" applyAlignment="1" applyProtection="1">
      <alignment horizontal="right" vertical="center"/>
      <protection/>
    </xf>
    <xf numFmtId="179" fontId="16" fillId="2" borderId="17" xfId="0" applyNumberFormat="1" applyFont="1" applyFill="1" applyBorder="1" applyAlignment="1" applyProtection="1">
      <alignment horizontal="right" vertical="center"/>
      <protection/>
    </xf>
    <xf numFmtId="179" fontId="24" fillId="2" borderId="17" xfId="0" applyNumberFormat="1" applyFont="1" applyFill="1" applyBorder="1" applyAlignment="1" applyProtection="1">
      <alignment horizontal="right" vertical="center"/>
      <protection/>
    </xf>
    <xf numFmtId="179" fontId="16" fillId="2" borderId="17" xfId="0" applyNumberFormat="1" applyFont="1" applyFill="1" applyBorder="1" applyAlignment="1">
      <alignment horizontal="right" vertical="center"/>
    </xf>
    <xf numFmtId="179" fontId="24" fillId="2" borderId="0" xfId="0" applyNumberFormat="1" applyFont="1" applyFill="1" applyBorder="1" applyAlignment="1" applyProtection="1">
      <alignment horizontal="right" vertical="center"/>
      <protection/>
    </xf>
    <xf numFmtId="179" fontId="24" fillId="2" borderId="0" xfId="0" applyNumberFormat="1" applyFont="1" applyFill="1" applyBorder="1" applyAlignment="1">
      <alignment horizontal="right" vertical="center"/>
    </xf>
    <xf numFmtId="179" fontId="16" fillId="2" borderId="17" xfId="16" applyNumberFormat="1" applyFont="1" applyFill="1" applyBorder="1" applyAlignment="1">
      <alignment horizontal="right" vertical="center"/>
    </xf>
    <xf numFmtId="179" fontId="16" fillId="2" borderId="0" xfId="16" applyNumberFormat="1" applyFont="1" applyFill="1" applyBorder="1" applyAlignment="1">
      <alignment horizontal="right" vertical="center"/>
    </xf>
    <xf numFmtId="0" fontId="44" fillId="2" borderId="1" xfId="0" applyFont="1" applyFill="1" applyBorder="1" applyAlignment="1">
      <alignment vertical="center"/>
    </xf>
    <xf numFmtId="202" fontId="42" fillId="2" borderId="19" xfId="16" applyNumberFormat="1" applyFont="1" applyFill="1" applyBorder="1" applyAlignment="1">
      <alignment horizontal="right" vertical="center"/>
    </xf>
    <xf numFmtId="0" fontId="38" fillId="0" borderId="15" xfId="0" applyFont="1" applyBorder="1" applyAlignment="1" applyProtection="1">
      <alignment horizontal="left" vertical="center"/>
      <protection locked="0"/>
    </xf>
    <xf numFmtId="3" fontId="6" fillId="0" borderId="18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distributed" vertical="distributed"/>
      <protection locked="0"/>
    </xf>
    <xf numFmtId="0" fontId="14" fillId="0" borderId="18" xfId="0" applyFont="1" applyBorder="1" applyAlignment="1" applyProtection="1">
      <alignment horizontal="distributed" vertical="center"/>
      <protection locked="0"/>
    </xf>
    <xf numFmtId="179" fontId="18" fillId="0" borderId="1" xfId="15" applyNumberFormat="1" applyFont="1" applyFill="1" applyBorder="1" applyAlignment="1">
      <alignment horizontal="right" vertical="center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41" fontId="6" fillId="0" borderId="1" xfId="16" applyFont="1" applyBorder="1" applyAlignment="1">
      <alignment horizontal="center" vertical="center" wrapText="1"/>
    </xf>
    <xf numFmtId="0" fontId="14" fillId="2" borderId="14" xfId="0" applyFont="1" applyFill="1" applyBorder="1" applyAlignment="1" applyProtection="1" quotePrefix="1">
      <alignment horizontal="distributed" vertical="center"/>
      <protection locked="0"/>
    </xf>
    <xf numFmtId="0" fontId="14" fillId="2" borderId="1" xfId="0" applyFont="1" applyFill="1" applyBorder="1" applyAlignment="1" applyProtection="1" quotePrefix="1">
      <alignment horizontal="distributed" vertical="center"/>
      <protection locked="0"/>
    </xf>
    <xf numFmtId="179" fontId="43" fillId="2" borderId="17" xfId="0" applyNumberFormat="1" applyFont="1" applyFill="1" applyBorder="1" applyAlignment="1">
      <alignment vertical="center"/>
    </xf>
    <xf numFmtId="0" fontId="16" fillId="2" borderId="34" xfId="0" applyNumberFormat="1" applyFont="1" applyFill="1" applyBorder="1" applyAlignment="1">
      <alignment vertical="center"/>
    </xf>
    <xf numFmtId="0" fontId="16" fillId="2" borderId="15" xfId="0" applyNumberFormat="1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4" fillId="0" borderId="11" xfId="0" applyFont="1" applyBorder="1" applyAlignment="1" applyProtection="1">
      <alignment horizontal="distributed" vertical="center"/>
      <protection locked="0"/>
    </xf>
    <xf numFmtId="3" fontId="14" fillId="0" borderId="11" xfId="0" applyNumberFormat="1" applyFont="1" applyBorder="1" applyAlignment="1" applyProtection="1">
      <alignment wrapText="1"/>
      <protection locked="0"/>
    </xf>
    <xf numFmtId="3" fontId="14" fillId="0" borderId="11" xfId="0" applyNumberFormat="1" applyFont="1" applyBorder="1" applyAlignment="1" applyProtection="1">
      <alignment vertical="center" wrapText="1"/>
      <protection locked="0"/>
    </xf>
    <xf numFmtId="0" fontId="24" fillId="2" borderId="32" xfId="0" applyNumberFormat="1" applyFont="1" applyFill="1" applyBorder="1" applyAlignment="1">
      <alignment horizontal="center" vertical="center" wrapText="1"/>
    </xf>
    <xf numFmtId="0" fontId="24" fillId="2" borderId="20" xfId="0" applyNumberFormat="1" applyFont="1" applyFill="1" applyBorder="1" applyAlignment="1">
      <alignment horizontal="center" vertical="center" wrapText="1"/>
    </xf>
    <xf numFmtId="0" fontId="24" fillId="2" borderId="3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wrapText="1"/>
    </xf>
    <xf numFmtId="3" fontId="18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distributed" wrapText="1"/>
    </xf>
    <xf numFmtId="0" fontId="5" fillId="0" borderId="4" xfId="0" applyFont="1" applyBorder="1" applyAlignment="1">
      <alignment horizontal="distributed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3" fontId="5" fillId="0" borderId="18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0" fontId="18" fillId="0" borderId="7" xfId="0" applyFont="1" applyBorder="1" applyAlignment="1" quotePrefix="1">
      <alignment horizontal="center" vertical="center" wrapText="1"/>
    </xf>
    <xf numFmtId="0" fontId="5" fillId="0" borderId="4" xfId="0" applyFont="1" applyBorder="1" applyAlignment="1" quotePrefix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7" fillId="0" borderId="0" xfId="0" applyNumberFormat="1" applyFont="1" applyAlignment="1" quotePrefix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0" fillId="0" borderId="4" xfId="0" applyFont="1" applyBorder="1" applyAlignment="1" applyProtection="1" quotePrefix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 quotePrefix="1">
      <alignment horizontal="center" vertical="center" wrapText="1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23" xfId="0" applyNumberFormat="1" applyFont="1" applyBorder="1" applyAlignment="1" applyProtection="1">
      <alignment horizontal="center" vertical="center" wrapText="1"/>
      <protection locked="0"/>
    </xf>
    <xf numFmtId="3" fontId="14" fillId="0" borderId="25" xfId="0" applyNumberFormat="1" applyFont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 quotePrefix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3" fontId="20" fillId="0" borderId="26" xfId="0" applyNumberFormat="1" applyFont="1" applyBorder="1" applyAlignment="1" applyProtection="1">
      <alignment horizontal="distributed" vertical="center"/>
      <protection locked="0"/>
    </xf>
    <xf numFmtId="3" fontId="14" fillId="0" borderId="2" xfId="0" applyNumberFormat="1" applyFont="1" applyBorder="1" applyAlignment="1" applyProtection="1">
      <alignment horizontal="distributed" vertical="center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3" fontId="20" fillId="0" borderId="8" xfId="0" applyNumberFormat="1" applyFont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Border="1" applyAlignment="1" applyProtection="1">
      <alignment horizontal="center" vertical="distributed"/>
      <protection locked="0"/>
    </xf>
    <xf numFmtId="3" fontId="14" fillId="0" borderId="11" xfId="0" applyNumberFormat="1" applyFont="1" applyBorder="1" applyAlignment="1" applyProtection="1">
      <alignment horizontal="center" vertical="distributed"/>
      <protection locked="0"/>
    </xf>
    <xf numFmtId="0" fontId="14" fillId="0" borderId="11" xfId="0" applyFont="1" applyBorder="1" applyAlignment="1" applyProtection="1">
      <alignment horizontal="center" vertical="distributed"/>
      <protection locked="0"/>
    </xf>
    <xf numFmtId="3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3" fontId="14" fillId="0" borderId="11" xfId="0" applyNumberFormat="1" applyFont="1" applyBorder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49" fontId="20" fillId="2" borderId="4" xfId="0" applyNumberFormat="1" applyFont="1" applyFill="1" applyBorder="1" applyAlignment="1" applyProtection="1" quotePrefix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 quotePrefix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wrapText="1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7" fillId="2" borderId="0" xfId="0" applyNumberFormat="1" applyFont="1" applyFill="1" applyAlignment="1" applyProtection="1" quotePrefix="1">
      <alignment horizontal="center" vertical="center"/>
      <protection locked="0"/>
    </xf>
    <xf numFmtId="3" fontId="39" fillId="2" borderId="0" xfId="0" applyNumberFormat="1" applyFont="1" applyFill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3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3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 quotePrefix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center"/>
      <protection locked="0"/>
    </xf>
    <xf numFmtId="3" fontId="21" fillId="0" borderId="2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20" fillId="0" borderId="4" xfId="0" applyFont="1" applyBorder="1" applyAlignment="1" quotePrefix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distributed" vertical="center"/>
    </xf>
    <xf numFmtId="3" fontId="12" fillId="0" borderId="2" xfId="0" applyNumberFormat="1" applyFont="1" applyBorder="1" applyAlignment="1">
      <alignment horizontal="distributed" vertical="center"/>
    </xf>
    <xf numFmtId="3" fontId="12" fillId="0" borderId="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21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 quotePrefix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4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9" fillId="0" borderId="14" xfId="0" applyFont="1" applyBorder="1" applyAlignment="1">
      <alignment/>
    </xf>
    <xf numFmtId="0" fontId="18" fillId="0" borderId="4" xfId="0" applyFont="1" applyBorder="1" applyAlignment="1" quotePrefix="1">
      <alignment horizontal="center" vertical="center" wrapText="1"/>
    </xf>
    <xf numFmtId="0" fontId="18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38" fillId="2" borderId="43" xfId="0" applyNumberFormat="1" applyFont="1" applyFill="1" applyBorder="1" applyAlignment="1">
      <alignment horizontal="center" vertical="center" wrapText="1"/>
    </xf>
    <xf numFmtId="0" fontId="34" fillId="2" borderId="43" xfId="0" applyNumberFormat="1" applyFont="1" applyFill="1" applyBorder="1" applyAlignment="1">
      <alignment horizontal="center" vertical="center" wrapText="1"/>
    </xf>
    <xf numFmtId="0" fontId="46" fillId="2" borderId="4" xfId="0" applyNumberFormat="1" applyFont="1" applyFill="1" applyBorder="1" applyAlignment="1">
      <alignment horizontal="center" vertical="center" wrapText="1"/>
    </xf>
    <xf numFmtId="0" fontId="43" fillId="2" borderId="4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center" wrapText="1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38" fillId="2" borderId="33" xfId="0" applyNumberFormat="1" applyFont="1" applyFill="1" applyBorder="1" applyAlignment="1">
      <alignment horizontal="center" vertical="center" wrapText="1"/>
    </xf>
    <xf numFmtId="0" fontId="46" fillId="2" borderId="7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2" borderId="4" xfId="0" applyNumberFormat="1" applyFont="1" applyFill="1" applyBorder="1" applyAlignment="1">
      <alignment horizontal="center" vertical="center" wrapText="1"/>
    </xf>
    <xf numFmtId="0" fontId="34" fillId="2" borderId="4" xfId="0" applyNumberFormat="1" applyFont="1" applyFill="1" applyBorder="1" applyAlignment="1">
      <alignment horizontal="center" vertical="center" wrapText="1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3" fontId="14" fillId="0" borderId="42" xfId="0" applyNumberFormat="1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2" borderId="0" xfId="0" applyNumberFormat="1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Border="1" applyAlignment="1" applyProtection="1">
      <alignment horizontal="center" wrapText="1"/>
      <protection locked="0"/>
    </xf>
    <xf numFmtId="3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2" borderId="0" xfId="0" applyNumberFormat="1" applyFont="1" applyFill="1" applyBorder="1" applyAlignment="1">
      <alignment horizontal="center" vertical="center"/>
    </xf>
    <xf numFmtId="0" fontId="24" fillId="2" borderId="13" xfId="16" applyNumberFormat="1" applyFont="1" applyFill="1" applyBorder="1" applyAlignment="1">
      <alignment horizontal="center" vertical="center" wrapText="1"/>
    </xf>
    <xf numFmtId="0" fontId="16" fillId="2" borderId="17" xfId="16" applyNumberFormat="1" applyFont="1" applyFill="1" applyBorder="1" applyAlignment="1">
      <alignment horizontal="center" vertical="center"/>
    </xf>
    <xf numFmtId="0" fontId="16" fillId="2" borderId="16" xfId="16" applyNumberFormat="1" applyFont="1" applyFill="1" applyBorder="1" applyAlignment="1">
      <alignment horizontal="center" vertical="center"/>
    </xf>
    <xf numFmtId="0" fontId="16" fillId="2" borderId="42" xfId="16" applyNumberFormat="1" applyFont="1" applyFill="1" applyBorder="1" applyAlignment="1">
      <alignment horizontal="center" vertical="center"/>
    </xf>
    <xf numFmtId="0" fontId="16" fillId="2" borderId="9" xfId="16" applyNumberFormat="1" applyFont="1" applyFill="1" applyBorder="1" applyAlignment="1">
      <alignment horizontal="center" vertical="center"/>
    </xf>
    <xf numFmtId="0" fontId="16" fillId="2" borderId="10" xfId="16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4" fillId="2" borderId="31" xfId="0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24" fillId="2" borderId="17" xfId="16" applyNumberFormat="1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81150" y="144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81150" y="144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581150" y="144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AutoShape 26"/>
        <xdr:cNvSpPr>
          <a:spLocks/>
        </xdr:cNvSpPr>
      </xdr:nvSpPr>
      <xdr:spPr>
        <a:xfrm>
          <a:off x="1581150" y="144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AutoShape 27"/>
        <xdr:cNvSpPr>
          <a:spLocks/>
        </xdr:cNvSpPr>
      </xdr:nvSpPr>
      <xdr:spPr>
        <a:xfrm>
          <a:off x="1581150" y="144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" name="AutoShape 28"/>
        <xdr:cNvSpPr>
          <a:spLocks/>
        </xdr:cNvSpPr>
      </xdr:nvSpPr>
      <xdr:spPr>
        <a:xfrm>
          <a:off x="1581150" y="144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9.125" style="15" customWidth="1"/>
    <col min="2" max="2" width="11.125" style="12" customWidth="1"/>
    <col min="3" max="3" width="10.125" style="7" customWidth="1"/>
    <col min="4" max="4" width="10.125" style="13" customWidth="1"/>
    <col min="5" max="5" width="13.625" style="13" customWidth="1"/>
    <col min="6" max="6" width="10.625" style="13" customWidth="1"/>
    <col min="7" max="8" width="13.125" style="13" customWidth="1"/>
    <col min="9" max="11" width="16.125" style="11" customWidth="1"/>
    <col min="12" max="16384" width="10.625" style="7" customWidth="1"/>
  </cols>
  <sheetData>
    <row r="1" spans="1:11" s="15" customFormat="1" ht="18" customHeight="1">
      <c r="A1" s="115" t="s">
        <v>131</v>
      </c>
      <c r="B1" s="14"/>
      <c r="D1" s="16"/>
      <c r="E1" s="16"/>
      <c r="F1" s="16"/>
      <c r="G1" s="16"/>
      <c r="H1" s="16"/>
      <c r="I1" s="17"/>
      <c r="J1" s="17"/>
      <c r="K1" s="75" t="s">
        <v>142</v>
      </c>
    </row>
    <row r="2" spans="1:12" s="19" customFormat="1" ht="25.5" customHeight="1">
      <c r="A2" s="582" t="s">
        <v>258</v>
      </c>
      <c r="B2" s="576"/>
      <c r="C2" s="576"/>
      <c r="D2" s="576"/>
      <c r="E2" s="576"/>
      <c r="F2" s="576"/>
      <c r="G2" s="576" t="s">
        <v>184</v>
      </c>
      <c r="H2" s="576"/>
      <c r="I2" s="576"/>
      <c r="J2" s="576"/>
      <c r="K2" s="576"/>
      <c r="L2" s="18"/>
    </row>
    <row r="3" spans="1:11" ht="18" customHeight="1" thickBot="1">
      <c r="A3" s="1"/>
      <c r="B3" s="2"/>
      <c r="C3" s="3"/>
      <c r="D3" s="4"/>
      <c r="E3" s="4"/>
      <c r="F3" s="114" t="s">
        <v>132</v>
      </c>
      <c r="G3" s="4"/>
      <c r="H3" s="4"/>
      <c r="I3" s="5"/>
      <c r="J3" s="5"/>
      <c r="K3" s="6" t="s">
        <v>257</v>
      </c>
    </row>
    <row r="4" spans="1:11" ht="21.75" customHeight="1">
      <c r="A4" s="577" t="s">
        <v>155</v>
      </c>
      <c r="B4" s="83" t="s">
        <v>156</v>
      </c>
      <c r="C4" s="84" t="s">
        <v>122</v>
      </c>
      <c r="D4" s="85" t="s">
        <v>255</v>
      </c>
      <c r="E4" s="587" t="s">
        <v>157</v>
      </c>
      <c r="F4" s="585"/>
      <c r="G4" s="585" t="s">
        <v>135</v>
      </c>
      <c r="H4" s="586"/>
      <c r="I4" s="179" t="s">
        <v>253</v>
      </c>
      <c r="J4" s="86" t="s">
        <v>119</v>
      </c>
      <c r="K4" s="87" t="s">
        <v>254</v>
      </c>
    </row>
    <row r="5" spans="1:11" ht="21.75" customHeight="1">
      <c r="A5" s="578"/>
      <c r="B5" s="9" t="s">
        <v>153</v>
      </c>
      <c r="C5" s="579" t="s">
        <v>259</v>
      </c>
      <c r="D5" s="581" t="s">
        <v>133</v>
      </c>
      <c r="E5" s="150" t="s">
        <v>154</v>
      </c>
      <c r="F5" s="162" t="s">
        <v>263</v>
      </c>
      <c r="G5" s="583" t="s">
        <v>136</v>
      </c>
      <c r="H5" s="584"/>
      <c r="I5" s="86" t="s">
        <v>260</v>
      </c>
      <c r="J5" s="86" t="s">
        <v>134</v>
      </c>
      <c r="K5" s="10" t="s">
        <v>264</v>
      </c>
    </row>
    <row r="6" spans="1:11" ht="31.5" customHeight="1" thickBot="1">
      <c r="A6" s="80" t="s">
        <v>137</v>
      </c>
      <c r="B6" s="81" t="s">
        <v>661</v>
      </c>
      <c r="C6" s="580"/>
      <c r="D6" s="580"/>
      <c r="E6" s="151" t="s">
        <v>261</v>
      </c>
      <c r="F6" s="89" t="s">
        <v>150</v>
      </c>
      <c r="G6" s="164" t="s">
        <v>151</v>
      </c>
      <c r="H6" s="88" t="s">
        <v>152</v>
      </c>
      <c r="I6" s="82" t="s">
        <v>266</v>
      </c>
      <c r="J6" s="116" t="s">
        <v>663</v>
      </c>
      <c r="K6" s="117" t="s">
        <v>262</v>
      </c>
    </row>
    <row r="7" spans="1:11" ht="21" customHeight="1">
      <c r="A7" s="180" t="s">
        <v>158</v>
      </c>
      <c r="B7" s="410">
        <v>1220.954</v>
      </c>
      <c r="C7" s="411">
        <v>461</v>
      </c>
      <c r="D7" s="411">
        <v>10717</v>
      </c>
      <c r="E7" s="411">
        <v>537659</v>
      </c>
      <c r="F7" s="411">
        <v>1792603</v>
      </c>
      <c r="G7" s="411">
        <v>918152</v>
      </c>
      <c r="H7" s="411">
        <v>874451</v>
      </c>
      <c r="I7" s="412">
        <f aca="true" t="shared" si="0" ref="I7:I29">F7/E7</f>
        <v>3.3340890787655373</v>
      </c>
      <c r="J7" s="412">
        <f aca="true" t="shared" si="1" ref="J7:J29">F7/B7</f>
        <v>1468.1986381141305</v>
      </c>
      <c r="K7" s="412">
        <f aca="true" t="shared" si="2" ref="K7:K29">G7/H7*100</f>
        <v>104.99753559662004</v>
      </c>
    </row>
    <row r="8" spans="1:11" ht="21" customHeight="1">
      <c r="A8" s="180" t="s">
        <v>159</v>
      </c>
      <c r="B8" s="413">
        <v>1220.954</v>
      </c>
      <c r="C8" s="39">
        <v>461</v>
      </c>
      <c r="D8" s="39">
        <v>10791</v>
      </c>
      <c r="E8" s="39">
        <v>554589</v>
      </c>
      <c r="F8" s="39">
        <v>1822075</v>
      </c>
      <c r="G8" s="39">
        <v>932046</v>
      </c>
      <c r="H8" s="39">
        <v>890029</v>
      </c>
      <c r="I8" s="414">
        <f t="shared" si="0"/>
        <v>3.285451027697989</v>
      </c>
      <c r="J8" s="414">
        <f t="shared" si="1"/>
        <v>1492.3371396465388</v>
      </c>
      <c r="K8" s="414">
        <f t="shared" si="2"/>
        <v>104.72085741026416</v>
      </c>
    </row>
    <row r="9" spans="1:11" ht="21" customHeight="1">
      <c r="A9" s="180" t="s">
        <v>160</v>
      </c>
      <c r="B9" s="415">
        <v>1220.954</v>
      </c>
      <c r="C9" s="416">
        <v>461</v>
      </c>
      <c r="D9" s="416">
        <v>10792</v>
      </c>
      <c r="E9" s="416">
        <v>573817</v>
      </c>
      <c r="F9" s="416">
        <v>1853029</v>
      </c>
      <c r="G9" s="416">
        <v>945959</v>
      </c>
      <c r="H9" s="416">
        <v>907070</v>
      </c>
      <c r="I9" s="414">
        <f t="shared" si="0"/>
        <v>3.229303070491115</v>
      </c>
      <c r="J9" s="414">
        <f t="shared" si="1"/>
        <v>1517.6894461216393</v>
      </c>
      <c r="K9" s="414">
        <f t="shared" si="2"/>
        <v>104.28732071394711</v>
      </c>
    </row>
    <row r="10" spans="1:11" ht="21" customHeight="1">
      <c r="A10" s="180" t="s">
        <v>161</v>
      </c>
      <c r="B10" s="415">
        <v>1220.954</v>
      </c>
      <c r="C10" s="416">
        <v>462</v>
      </c>
      <c r="D10" s="416">
        <v>10916</v>
      </c>
      <c r="E10" s="416">
        <v>590044</v>
      </c>
      <c r="F10" s="416">
        <v>1880316</v>
      </c>
      <c r="G10" s="416">
        <v>958212</v>
      </c>
      <c r="H10" s="416">
        <v>922104</v>
      </c>
      <c r="I10" s="414">
        <f t="shared" si="0"/>
        <v>3.186738616103206</v>
      </c>
      <c r="J10" s="414">
        <f t="shared" si="1"/>
        <v>1540.0383634436678</v>
      </c>
      <c r="K10" s="414">
        <f t="shared" si="2"/>
        <v>103.91582728195519</v>
      </c>
    </row>
    <row r="11" spans="1:11" ht="21" customHeight="1">
      <c r="A11" s="180" t="s">
        <v>162</v>
      </c>
      <c r="B11" s="415">
        <v>1220.954</v>
      </c>
      <c r="C11" s="416">
        <v>471</v>
      </c>
      <c r="D11" s="416">
        <v>11041</v>
      </c>
      <c r="E11" s="416">
        <v>605144</v>
      </c>
      <c r="F11" s="416">
        <v>1911161</v>
      </c>
      <c r="G11" s="416">
        <v>971969</v>
      </c>
      <c r="H11" s="416">
        <v>939192</v>
      </c>
      <c r="I11" s="414">
        <f t="shared" si="0"/>
        <v>3.158192099731634</v>
      </c>
      <c r="J11" s="414">
        <f t="shared" si="1"/>
        <v>1565.3013954661683</v>
      </c>
      <c r="K11" s="414">
        <f t="shared" si="2"/>
        <v>103.4899147352192</v>
      </c>
    </row>
    <row r="12" spans="1:11" ht="21" customHeight="1">
      <c r="A12" s="180" t="s">
        <v>163</v>
      </c>
      <c r="B12" s="415">
        <v>1220.954</v>
      </c>
      <c r="C12" s="416">
        <v>471</v>
      </c>
      <c r="D12" s="416">
        <v>11056</v>
      </c>
      <c r="E12" s="416">
        <v>619870</v>
      </c>
      <c r="F12" s="416">
        <v>1934968</v>
      </c>
      <c r="G12" s="416">
        <v>981486</v>
      </c>
      <c r="H12" s="416">
        <v>953482</v>
      </c>
      <c r="I12" s="414">
        <f t="shared" si="0"/>
        <v>3.1215706519108846</v>
      </c>
      <c r="J12" s="414">
        <f t="shared" si="1"/>
        <v>1584.800082558393</v>
      </c>
      <c r="K12" s="414">
        <f t="shared" si="2"/>
        <v>102.93702450596865</v>
      </c>
    </row>
    <row r="13" spans="1:11" ht="21" customHeight="1">
      <c r="A13" s="180" t="s">
        <v>169</v>
      </c>
      <c r="B13" s="415">
        <v>1220.954</v>
      </c>
      <c r="C13" s="416">
        <v>471</v>
      </c>
      <c r="D13" s="416">
        <v>11072</v>
      </c>
      <c r="E13" s="416">
        <v>637071</v>
      </c>
      <c r="F13" s="416">
        <v>1958686</v>
      </c>
      <c r="G13" s="416">
        <v>991492</v>
      </c>
      <c r="H13" s="416">
        <v>967194</v>
      </c>
      <c r="I13" s="414">
        <f t="shared" si="0"/>
        <v>3.0745175969397445</v>
      </c>
      <c r="J13" s="414">
        <f t="shared" si="1"/>
        <v>1604.225875831522</v>
      </c>
      <c r="K13" s="414">
        <f t="shared" si="2"/>
        <v>102.51221574989091</v>
      </c>
    </row>
    <row r="14" spans="1:11" ht="21" customHeight="1">
      <c r="A14" s="180" t="s">
        <v>170</v>
      </c>
      <c r="B14" s="415">
        <v>1220.954</v>
      </c>
      <c r="C14" s="416">
        <v>471</v>
      </c>
      <c r="D14" s="416">
        <v>11073</v>
      </c>
      <c r="E14" s="416">
        <v>654106</v>
      </c>
      <c r="F14" s="416">
        <v>1978782</v>
      </c>
      <c r="G14" s="416">
        <v>999065</v>
      </c>
      <c r="H14" s="416">
        <v>979717</v>
      </c>
      <c r="I14" s="414">
        <f t="shared" si="0"/>
        <v>3.025170232347662</v>
      </c>
      <c r="J14" s="414">
        <f t="shared" si="1"/>
        <v>1620.6851363769642</v>
      </c>
      <c r="K14" s="414">
        <f t="shared" si="2"/>
        <v>101.97485600433596</v>
      </c>
    </row>
    <row r="15" spans="1:11" ht="21" customHeight="1">
      <c r="A15" s="180" t="s">
        <v>171</v>
      </c>
      <c r="B15" s="415">
        <v>1220.954</v>
      </c>
      <c r="C15" s="416">
        <v>483</v>
      </c>
      <c r="D15" s="416">
        <v>11341</v>
      </c>
      <c r="E15" s="416">
        <v>673477</v>
      </c>
      <c r="F15" s="416">
        <v>2002060</v>
      </c>
      <c r="G15" s="416">
        <v>1009274</v>
      </c>
      <c r="H15" s="416">
        <v>992786</v>
      </c>
      <c r="I15" s="414">
        <f t="shared" si="0"/>
        <v>2.9727221568071367</v>
      </c>
      <c r="J15" s="414">
        <f t="shared" si="1"/>
        <v>1639.7505557129916</v>
      </c>
      <c r="K15" s="414">
        <f t="shared" si="2"/>
        <v>101.66078087321941</v>
      </c>
    </row>
    <row r="16" spans="1:11" ht="21" customHeight="1">
      <c r="A16" s="180" t="s">
        <v>265</v>
      </c>
      <c r="B16" s="415">
        <v>1220.954</v>
      </c>
      <c r="C16" s="416">
        <f aca="true" t="shared" si="3" ref="C16:H16">SUM(C17:C29)</f>
        <v>483</v>
      </c>
      <c r="D16" s="416">
        <f t="shared" si="3"/>
        <v>11345</v>
      </c>
      <c r="E16" s="416">
        <f t="shared" si="3"/>
        <v>686273</v>
      </c>
      <c r="F16" s="416">
        <f t="shared" si="3"/>
        <v>2013305</v>
      </c>
      <c r="G16" s="416">
        <f t="shared" si="3"/>
        <v>1013618</v>
      </c>
      <c r="H16" s="416">
        <f t="shared" si="3"/>
        <v>999687</v>
      </c>
      <c r="I16" s="414">
        <f t="shared" si="0"/>
        <v>2.933679454094799</v>
      </c>
      <c r="J16" s="414">
        <f t="shared" si="1"/>
        <v>1648.9605669009643</v>
      </c>
      <c r="K16" s="414">
        <f t="shared" si="2"/>
        <v>101.39353617682335</v>
      </c>
    </row>
    <row r="17" spans="1:11" ht="21" customHeight="1">
      <c r="A17" s="90" t="s">
        <v>172</v>
      </c>
      <c r="B17" s="415">
        <v>34.8046</v>
      </c>
      <c r="C17" s="416">
        <v>76</v>
      </c>
      <c r="D17" s="416">
        <v>1625</v>
      </c>
      <c r="E17" s="416">
        <v>147001</v>
      </c>
      <c r="F17" s="416">
        <f aca="true" t="shared" si="4" ref="F17:F29">SUM(G17:H17)</f>
        <v>410113</v>
      </c>
      <c r="G17" s="416">
        <v>200696</v>
      </c>
      <c r="H17" s="416">
        <v>209417</v>
      </c>
      <c r="I17" s="414">
        <f t="shared" si="0"/>
        <v>2.789865375065476</v>
      </c>
      <c r="J17" s="414">
        <f t="shared" si="1"/>
        <v>11783.298759359395</v>
      </c>
      <c r="K17" s="414">
        <f t="shared" si="2"/>
        <v>95.83558163854893</v>
      </c>
    </row>
    <row r="18" spans="1:11" ht="21" customHeight="1">
      <c r="A18" s="90" t="s">
        <v>173</v>
      </c>
      <c r="B18" s="415">
        <v>76.52</v>
      </c>
      <c r="C18" s="416">
        <v>85</v>
      </c>
      <c r="D18" s="416">
        <v>1901</v>
      </c>
      <c r="E18" s="416">
        <v>129975</v>
      </c>
      <c r="F18" s="416">
        <f t="shared" si="4"/>
        <v>372429</v>
      </c>
      <c r="G18" s="416">
        <v>185683</v>
      </c>
      <c r="H18" s="416">
        <v>186746</v>
      </c>
      <c r="I18" s="414">
        <f t="shared" si="0"/>
        <v>2.865389497980381</v>
      </c>
      <c r="J18" s="414">
        <f t="shared" si="1"/>
        <v>4867.080501829587</v>
      </c>
      <c r="K18" s="414">
        <f t="shared" si="2"/>
        <v>99.43077763379135</v>
      </c>
    </row>
    <row r="19" spans="1:11" ht="21" customHeight="1">
      <c r="A19" s="90" t="s">
        <v>174</v>
      </c>
      <c r="B19" s="415">
        <v>47.7532</v>
      </c>
      <c r="C19" s="416">
        <v>46</v>
      </c>
      <c r="D19" s="416">
        <v>1506</v>
      </c>
      <c r="E19" s="416">
        <v>67998</v>
      </c>
      <c r="F19" s="416">
        <f t="shared" si="4"/>
        <v>208561</v>
      </c>
      <c r="G19" s="416">
        <v>104912</v>
      </c>
      <c r="H19" s="416">
        <v>103649</v>
      </c>
      <c r="I19" s="414">
        <f t="shared" si="0"/>
        <v>3.0671637401100034</v>
      </c>
      <c r="J19" s="414">
        <f t="shared" si="1"/>
        <v>4367.476943953494</v>
      </c>
      <c r="K19" s="414">
        <f t="shared" si="2"/>
        <v>101.21853563469017</v>
      </c>
    </row>
    <row r="20" spans="1:11" ht="21" customHeight="1">
      <c r="A20" s="90" t="s">
        <v>167</v>
      </c>
      <c r="B20" s="415">
        <v>33.7111</v>
      </c>
      <c r="C20" s="416">
        <v>48</v>
      </c>
      <c r="D20" s="416">
        <v>1269</v>
      </c>
      <c r="E20" s="416">
        <v>59214</v>
      </c>
      <c r="F20" s="416">
        <f t="shared" si="4"/>
        <v>177435</v>
      </c>
      <c r="G20" s="416">
        <v>90039</v>
      </c>
      <c r="H20" s="416">
        <v>87396</v>
      </c>
      <c r="I20" s="414">
        <f t="shared" si="0"/>
        <v>2.996504205086635</v>
      </c>
      <c r="J20" s="414">
        <f t="shared" si="1"/>
        <v>5263.399889057313</v>
      </c>
      <c r="K20" s="414">
        <f t="shared" si="2"/>
        <v>103.02416586571468</v>
      </c>
    </row>
    <row r="21" spans="1:11" ht="21" customHeight="1">
      <c r="A21" s="90" t="s">
        <v>175</v>
      </c>
      <c r="B21" s="415">
        <v>89.1229</v>
      </c>
      <c r="C21" s="416">
        <v>41</v>
      </c>
      <c r="D21" s="416">
        <v>945</v>
      </c>
      <c r="E21" s="416">
        <v>50043</v>
      </c>
      <c r="F21" s="416">
        <f t="shared" si="4"/>
        <v>152441</v>
      </c>
      <c r="G21" s="416">
        <v>77475</v>
      </c>
      <c r="H21" s="416">
        <v>74966</v>
      </c>
      <c r="I21" s="414">
        <f t="shared" si="0"/>
        <v>3.046200267769718</v>
      </c>
      <c r="J21" s="414">
        <f t="shared" si="1"/>
        <v>1710.45825483686</v>
      </c>
      <c r="K21" s="414">
        <f t="shared" si="2"/>
        <v>103.34685057225943</v>
      </c>
    </row>
    <row r="22" spans="1:11" ht="21" customHeight="1">
      <c r="A22" s="90" t="s">
        <v>176</v>
      </c>
      <c r="B22" s="415">
        <v>105.1206</v>
      </c>
      <c r="C22" s="416">
        <v>27</v>
      </c>
      <c r="D22" s="416">
        <v>705</v>
      </c>
      <c r="E22" s="416">
        <v>29582</v>
      </c>
      <c r="F22" s="416">
        <f t="shared" si="4"/>
        <v>91979</v>
      </c>
      <c r="G22" s="416">
        <v>47408</v>
      </c>
      <c r="H22" s="416">
        <v>44571</v>
      </c>
      <c r="I22" s="414">
        <f t="shared" si="0"/>
        <v>3.1092894327631666</v>
      </c>
      <c r="J22" s="414">
        <f t="shared" si="1"/>
        <v>874.9854928529708</v>
      </c>
      <c r="K22" s="414">
        <f t="shared" si="2"/>
        <v>106.36512530569205</v>
      </c>
    </row>
    <row r="23" spans="1:11" ht="21" customHeight="1">
      <c r="A23" s="90" t="s">
        <v>177</v>
      </c>
      <c r="B23" s="415">
        <v>75.5025</v>
      </c>
      <c r="C23" s="416">
        <v>26</v>
      </c>
      <c r="D23" s="416">
        <v>556</v>
      </c>
      <c r="E23" s="416">
        <v>49392</v>
      </c>
      <c r="F23" s="416">
        <f t="shared" si="4"/>
        <v>143886</v>
      </c>
      <c r="G23" s="416">
        <v>72040</v>
      </c>
      <c r="H23" s="416">
        <v>71846</v>
      </c>
      <c r="I23" s="414">
        <f t="shared" si="0"/>
        <v>2.9131438289601554</v>
      </c>
      <c r="J23" s="414">
        <f t="shared" si="1"/>
        <v>1905.7117313996225</v>
      </c>
      <c r="K23" s="414">
        <f t="shared" si="2"/>
        <v>100.27002199148178</v>
      </c>
    </row>
    <row r="24" spans="1:11" ht="21" customHeight="1">
      <c r="A24" s="90" t="s">
        <v>178</v>
      </c>
      <c r="B24" s="415">
        <v>87.3925</v>
      </c>
      <c r="C24" s="416">
        <v>18</v>
      </c>
      <c r="D24" s="416">
        <v>410</v>
      </c>
      <c r="E24" s="416">
        <v>26444</v>
      </c>
      <c r="F24" s="416">
        <f t="shared" si="4"/>
        <v>82136</v>
      </c>
      <c r="G24" s="416">
        <v>42600</v>
      </c>
      <c r="H24" s="416">
        <v>39536</v>
      </c>
      <c r="I24" s="414">
        <f t="shared" si="0"/>
        <v>3.1060353955528663</v>
      </c>
      <c r="J24" s="414">
        <f t="shared" si="1"/>
        <v>939.8518179477644</v>
      </c>
      <c r="K24" s="414">
        <f t="shared" si="2"/>
        <v>107.74989882638609</v>
      </c>
    </row>
    <row r="25" spans="1:11" ht="21" customHeight="1">
      <c r="A25" s="90" t="s">
        <v>179</v>
      </c>
      <c r="B25" s="415">
        <v>72.0177</v>
      </c>
      <c r="C25" s="416">
        <v>30</v>
      </c>
      <c r="D25" s="416">
        <v>773</v>
      </c>
      <c r="E25" s="416">
        <v>50907</v>
      </c>
      <c r="F25" s="416">
        <f t="shared" si="4"/>
        <v>138355</v>
      </c>
      <c r="G25" s="416">
        <v>69924</v>
      </c>
      <c r="H25" s="416">
        <v>68431</v>
      </c>
      <c r="I25" s="414">
        <f t="shared" si="0"/>
        <v>2.7177991238925885</v>
      </c>
      <c r="J25" s="414">
        <f t="shared" si="1"/>
        <v>1921.1249456730775</v>
      </c>
      <c r="K25" s="414">
        <f t="shared" si="2"/>
        <v>102.1817597287779</v>
      </c>
    </row>
    <row r="26" spans="1:11" ht="21" customHeight="1">
      <c r="A26" s="90" t="s">
        <v>180</v>
      </c>
      <c r="B26" s="415">
        <v>75.2341</v>
      </c>
      <c r="C26" s="416">
        <v>30</v>
      </c>
      <c r="D26" s="416">
        <v>893</v>
      </c>
      <c r="E26" s="416">
        <v>37362</v>
      </c>
      <c r="F26" s="416">
        <f t="shared" si="4"/>
        <v>114958</v>
      </c>
      <c r="G26" s="416">
        <v>58348</v>
      </c>
      <c r="H26" s="416">
        <v>56610</v>
      </c>
      <c r="I26" s="414">
        <f t="shared" si="0"/>
        <v>3.076869546598148</v>
      </c>
      <c r="J26" s="414">
        <f t="shared" si="1"/>
        <v>1528.00392375266</v>
      </c>
      <c r="K26" s="414">
        <f t="shared" si="2"/>
        <v>103.0701289524819</v>
      </c>
    </row>
    <row r="27" spans="1:11" ht="21" customHeight="1">
      <c r="A27" s="90" t="s">
        <v>181</v>
      </c>
      <c r="B27" s="415">
        <v>85.0166</v>
      </c>
      <c r="C27" s="416">
        <v>23</v>
      </c>
      <c r="D27" s="416">
        <v>261</v>
      </c>
      <c r="E27" s="416">
        <v>15051</v>
      </c>
      <c r="F27" s="416">
        <f t="shared" si="4"/>
        <v>48652</v>
      </c>
      <c r="G27" s="416">
        <v>26063</v>
      </c>
      <c r="H27" s="416">
        <v>22589</v>
      </c>
      <c r="I27" s="414">
        <f t="shared" si="0"/>
        <v>3.2324762474254203</v>
      </c>
      <c r="J27" s="414">
        <f t="shared" si="1"/>
        <v>572.2647106565071</v>
      </c>
      <c r="K27" s="414">
        <f t="shared" si="2"/>
        <v>115.37916685112222</v>
      </c>
    </row>
    <row r="28" spans="1:11" ht="21" customHeight="1">
      <c r="A28" s="90" t="s">
        <v>182</v>
      </c>
      <c r="B28" s="415">
        <v>87.9807</v>
      </c>
      <c r="C28" s="416">
        <v>23</v>
      </c>
      <c r="D28" s="416">
        <v>371</v>
      </c>
      <c r="E28" s="416">
        <v>19607</v>
      </c>
      <c r="F28" s="416">
        <f t="shared" si="4"/>
        <v>61676</v>
      </c>
      <c r="G28" s="416">
        <v>32468</v>
      </c>
      <c r="H28" s="416">
        <v>29208</v>
      </c>
      <c r="I28" s="414">
        <f t="shared" si="0"/>
        <v>3.1456112612842353</v>
      </c>
      <c r="J28" s="414">
        <f t="shared" si="1"/>
        <v>701.0173822213281</v>
      </c>
      <c r="K28" s="414">
        <f t="shared" si="2"/>
        <v>111.16132566420158</v>
      </c>
    </row>
    <row r="29" spans="1:11" ht="21" customHeight="1" thickBot="1">
      <c r="A29" s="91" t="s">
        <v>183</v>
      </c>
      <c r="B29" s="417">
        <v>350.7775</v>
      </c>
      <c r="C29" s="418">
        <v>10</v>
      </c>
      <c r="D29" s="418">
        <v>130</v>
      </c>
      <c r="E29" s="418">
        <v>3697</v>
      </c>
      <c r="F29" s="418">
        <f t="shared" si="4"/>
        <v>10684</v>
      </c>
      <c r="G29" s="418">
        <v>5962</v>
      </c>
      <c r="H29" s="418">
        <v>4722</v>
      </c>
      <c r="I29" s="419">
        <f t="shared" si="0"/>
        <v>2.88991073843657</v>
      </c>
      <c r="J29" s="419">
        <f t="shared" si="1"/>
        <v>30.458053894562795</v>
      </c>
      <c r="K29" s="419">
        <f t="shared" si="2"/>
        <v>126.26005929690808</v>
      </c>
    </row>
    <row r="30" spans="1:7" ht="15.75" customHeight="1">
      <c r="A30" s="118" t="s">
        <v>662</v>
      </c>
      <c r="G30" s="13" t="s">
        <v>664</v>
      </c>
    </row>
  </sheetData>
  <mergeCells count="8">
    <mergeCell ref="G2:K2"/>
    <mergeCell ref="A4:A5"/>
    <mergeCell ref="C5:C6"/>
    <mergeCell ref="D5:D6"/>
    <mergeCell ref="A2:F2"/>
    <mergeCell ref="G5:H5"/>
    <mergeCell ref="G4:H4"/>
    <mergeCell ref="E4:F4"/>
  </mergeCells>
  <printOptions horizontalCentered="1"/>
  <pageMargins left="1.1811023622047245" right="1.1811023622047245" top="1.5748031496062993" bottom="1.5748031496062993" header="0.5118110236220472" footer="0.9055118110236221"/>
  <pageSetup firstPageNumber="2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120" zoomScaleNormal="120" workbookViewId="0" topLeftCell="A1">
      <selection activeCell="B22" sqref="B22"/>
    </sheetView>
  </sheetViews>
  <sheetFormatPr defaultColWidth="9.00390625" defaultRowHeight="12.75" customHeight="1"/>
  <cols>
    <col min="1" max="1" width="18.625" style="310" customWidth="1"/>
    <col min="2" max="2" width="8.625" style="127" customWidth="1"/>
    <col min="3" max="4" width="7.625" style="127" customWidth="1"/>
    <col min="5" max="5" width="8.625" style="127" customWidth="1"/>
    <col min="6" max="7" width="7.625" style="127" customWidth="1"/>
    <col min="8" max="8" width="8.625" style="127" customWidth="1"/>
    <col min="9" max="15" width="9.375" style="127" customWidth="1"/>
    <col min="16" max="16" width="9.375" style="330" customWidth="1"/>
    <col min="17" max="16384" width="10.625" style="119" customWidth="1"/>
  </cols>
  <sheetData>
    <row r="1" spans="1:16" s="310" customFormat="1" ht="18" customHeight="1">
      <c r="A1" s="125" t="s">
        <v>131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9" t="s">
        <v>142</v>
      </c>
    </row>
    <row r="2" spans="1:16" s="311" customFormat="1" ht="24.75" customHeight="1">
      <c r="A2" s="703" t="s">
        <v>526</v>
      </c>
      <c r="B2" s="704"/>
      <c r="C2" s="704"/>
      <c r="D2" s="704"/>
      <c r="E2" s="704"/>
      <c r="F2" s="704"/>
      <c r="G2" s="704"/>
      <c r="H2" s="704"/>
      <c r="I2" s="705" t="s">
        <v>527</v>
      </c>
      <c r="J2" s="704"/>
      <c r="K2" s="704"/>
      <c r="L2" s="704"/>
      <c r="M2" s="704"/>
      <c r="N2" s="704"/>
      <c r="O2" s="704"/>
      <c r="P2" s="704"/>
    </row>
    <row r="3" spans="1:16" ht="15" customHeight="1" thickBot="1">
      <c r="A3" s="312"/>
      <c r="B3" s="313"/>
      <c r="C3" s="313"/>
      <c r="D3" s="313"/>
      <c r="E3" s="313"/>
      <c r="F3" s="313"/>
      <c r="G3" s="313"/>
      <c r="H3" s="314" t="s">
        <v>132</v>
      </c>
      <c r="I3" s="313"/>
      <c r="J3" s="313"/>
      <c r="K3" s="313"/>
      <c r="L3" s="313"/>
      <c r="M3" s="313"/>
      <c r="N3" s="313"/>
      <c r="O3" s="313"/>
      <c r="P3" s="315" t="s">
        <v>257</v>
      </c>
    </row>
    <row r="4" spans="1:16" ht="21.75" customHeight="1">
      <c r="A4" s="316" t="s">
        <v>528</v>
      </c>
      <c r="B4" s="317" t="s">
        <v>532</v>
      </c>
      <c r="C4" s="318"/>
      <c r="D4" s="319"/>
      <c r="E4" s="317" t="s">
        <v>533</v>
      </c>
      <c r="F4" s="318"/>
      <c r="G4" s="319"/>
      <c r="H4" s="320" t="s">
        <v>143</v>
      </c>
      <c r="I4" s="321" t="s">
        <v>529</v>
      </c>
      <c r="J4" s="322" t="s">
        <v>530</v>
      </c>
      <c r="K4" s="317" t="s">
        <v>534</v>
      </c>
      <c r="L4" s="318"/>
      <c r="M4" s="319"/>
      <c r="N4" s="317" t="s">
        <v>535</v>
      </c>
      <c r="O4" s="318"/>
      <c r="P4" s="318"/>
    </row>
    <row r="5" spans="1:16" ht="30" customHeight="1" thickBot="1">
      <c r="A5" s="323" t="s">
        <v>531</v>
      </c>
      <c r="B5" s="324" t="s">
        <v>250</v>
      </c>
      <c r="C5" s="324" t="s">
        <v>248</v>
      </c>
      <c r="D5" s="324" t="s">
        <v>249</v>
      </c>
      <c r="E5" s="324" t="s">
        <v>250</v>
      </c>
      <c r="F5" s="324" t="s">
        <v>248</v>
      </c>
      <c r="G5" s="324" t="s">
        <v>249</v>
      </c>
      <c r="H5" s="325" t="s">
        <v>250</v>
      </c>
      <c r="I5" s="326" t="s">
        <v>248</v>
      </c>
      <c r="J5" s="324" t="s">
        <v>249</v>
      </c>
      <c r="K5" s="324" t="s">
        <v>250</v>
      </c>
      <c r="L5" s="324" t="s">
        <v>248</v>
      </c>
      <c r="M5" s="324" t="s">
        <v>249</v>
      </c>
      <c r="N5" s="324" t="s">
        <v>250</v>
      </c>
      <c r="O5" s="324" t="s">
        <v>248</v>
      </c>
      <c r="P5" s="327" t="s">
        <v>249</v>
      </c>
    </row>
    <row r="6" spans="1:16" ht="18" customHeight="1">
      <c r="A6" s="316" t="s">
        <v>82</v>
      </c>
      <c r="B6" s="482">
        <v>1792603</v>
      </c>
      <c r="C6" s="440">
        <v>918152</v>
      </c>
      <c r="D6" s="438">
        <v>874451</v>
      </c>
      <c r="E6" s="438">
        <v>873835</v>
      </c>
      <c r="F6" s="438">
        <v>476317</v>
      </c>
      <c r="G6" s="438">
        <v>397518</v>
      </c>
      <c r="H6" s="438">
        <v>787133</v>
      </c>
      <c r="I6" s="440">
        <v>395892</v>
      </c>
      <c r="J6" s="438">
        <v>391241</v>
      </c>
      <c r="K6" s="438">
        <v>70862</v>
      </c>
      <c r="L6" s="438">
        <v>33436</v>
      </c>
      <c r="M6" s="438">
        <v>37426</v>
      </c>
      <c r="N6" s="438">
        <v>60773</v>
      </c>
      <c r="O6" s="440">
        <v>12507</v>
      </c>
      <c r="P6" s="438">
        <v>48266</v>
      </c>
    </row>
    <row r="7" spans="1:16" ht="18" customHeight="1">
      <c r="A7" s="316" t="s">
        <v>83</v>
      </c>
      <c r="B7" s="426">
        <v>1822075</v>
      </c>
      <c r="C7" s="429">
        <v>932046</v>
      </c>
      <c r="D7" s="416">
        <v>890029</v>
      </c>
      <c r="E7" s="416">
        <v>882145</v>
      </c>
      <c r="F7" s="416">
        <v>479925</v>
      </c>
      <c r="G7" s="416">
        <v>402220</v>
      </c>
      <c r="H7" s="416">
        <v>800150</v>
      </c>
      <c r="I7" s="429">
        <v>403514</v>
      </c>
      <c r="J7" s="416">
        <v>396636</v>
      </c>
      <c r="K7" s="416">
        <v>76865</v>
      </c>
      <c r="L7" s="416">
        <v>35946</v>
      </c>
      <c r="M7" s="416">
        <v>40919</v>
      </c>
      <c r="N7" s="416">
        <v>62915</v>
      </c>
      <c r="O7" s="429">
        <v>12661</v>
      </c>
      <c r="P7" s="416">
        <v>50254</v>
      </c>
    </row>
    <row r="8" spans="1:16" ht="18" customHeight="1">
      <c r="A8" s="316" t="s">
        <v>84</v>
      </c>
      <c r="B8" s="426">
        <v>1853029</v>
      </c>
      <c r="C8" s="416">
        <v>945959</v>
      </c>
      <c r="D8" s="416">
        <v>907070</v>
      </c>
      <c r="E8" s="416">
        <v>894352</v>
      </c>
      <c r="F8" s="416">
        <v>485579</v>
      </c>
      <c r="G8" s="416">
        <v>408773</v>
      </c>
      <c r="H8" s="416">
        <v>809028</v>
      </c>
      <c r="I8" s="416">
        <v>408119</v>
      </c>
      <c r="J8" s="416">
        <v>400909</v>
      </c>
      <c r="K8" s="416">
        <v>84312</v>
      </c>
      <c r="L8" s="416">
        <v>39341</v>
      </c>
      <c r="M8" s="416">
        <v>44971</v>
      </c>
      <c r="N8" s="416">
        <v>65337</v>
      </c>
      <c r="O8" s="416">
        <v>12920</v>
      </c>
      <c r="P8" s="416">
        <v>52417</v>
      </c>
    </row>
    <row r="9" spans="1:16" ht="18" customHeight="1">
      <c r="A9" s="329" t="s">
        <v>85</v>
      </c>
      <c r="B9" s="426">
        <v>1880316</v>
      </c>
      <c r="C9" s="416">
        <v>958212</v>
      </c>
      <c r="D9" s="416">
        <v>922104</v>
      </c>
      <c r="E9" s="416">
        <v>902231</v>
      </c>
      <c r="F9" s="416">
        <v>489377</v>
      </c>
      <c r="G9" s="416">
        <v>412854</v>
      </c>
      <c r="H9" s="416">
        <v>818331</v>
      </c>
      <c r="I9" s="416">
        <v>412933</v>
      </c>
      <c r="J9" s="416">
        <v>405398</v>
      </c>
      <c r="K9" s="416">
        <v>91910</v>
      </c>
      <c r="L9" s="416">
        <v>42739</v>
      </c>
      <c r="M9" s="416">
        <v>49171</v>
      </c>
      <c r="N9" s="416">
        <v>67844</v>
      </c>
      <c r="O9" s="416">
        <v>13163</v>
      </c>
      <c r="P9" s="416">
        <v>54681</v>
      </c>
    </row>
    <row r="10" spans="1:16" ht="18" customHeight="1">
      <c r="A10" s="329" t="s">
        <v>86</v>
      </c>
      <c r="B10" s="426">
        <v>1911161</v>
      </c>
      <c r="C10" s="416">
        <v>971969</v>
      </c>
      <c r="D10" s="416">
        <v>939192</v>
      </c>
      <c r="E10" s="416">
        <v>910669</v>
      </c>
      <c r="F10" s="416">
        <v>493760</v>
      </c>
      <c r="G10" s="416">
        <v>416909</v>
      </c>
      <c r="H10" s="416">
        <v>829781</v>
      </c>
      <c r="I10" s="416">
        <v>418149</v>
      </c>
      <c r="J10" s="416">
        <v>411632</v>
      </c>
      <c r="K10" s="416">
        <v>100112</v>
      </c>
      <c r="L10" s="416">
        <v>46596</v>
      </c>
      <c r="M10" s="416">
        <v>53516</v>
      </c>
      <c r="N10" s="416">
        <v>70599</v>
      </c>
      <c r="O10" s="416">
        <v>13464</v>
      </c>
      <c r="P10" s="416">
        <v>57135</v>
      </c>
    </row>
    <row r="11" spans="1:16" ht="18" customHeight="1">
      <c r="A11" s="329" t="s">
        <v>87</v>
      </c>
      <c r="B11" s="426">
        <v>1934968</v>
      </c>
      <c r="C11" s="416">
        <v>981486</v>
      </c>
      <c r="D11" s="416">
        <v>953482</v>
      </c>
      <c r="E11" s="416">
        <v>917229</v>
      </c>
      <c r="F11" s="416">
        <v>496576</v>
      </c>
      <c r="G11" s="416">
        <v>420653</v>
      </c>
      <c r="H11" s="416">
        <v>837442</v>
      </c>
      <c r="I11" s="416">
        <v>421413</v>
      </c>
      <c r="J11" s="416">
        <v>416029</v>
      </c>
      <c r="K11" s="416">
        <v>107289</v>
      </c>
      <c r="L11" s="416">
        <v>49796</v>
      </c>
      <c r="M11" s="416">
        <v>57493</v>
      </c>
      <c r="N11" s="416">
        <v>73008</v>
      </c>
      <c r="O11" s="416">
        <v>13701</v>
      </c>
      <c r="P11" s="416">
        <v>59307</v>
      </c>
    </row>
    <row r="12" spans="1:16" ht="18" customHeight="1">
      <c r="A12" s="316" t="s">
        <v>88</v>
      </c>
      <c r="B12" s="426">
        <v>1958686</v>
      </c>
      <c r="C12" s="416">
        <v>991492</v>
      </c>
      <c r="D12" s="416">
        <v>967194</v>
      </c>
      <c r="E12" s="416">
        <v>919940</v>
      </c>
      <c r="F12" s="416">
        <v>497840</v>
      </c>
      <c r="G12" s="416">
        <v>422100</v>
      </c>
      <c r="H12" s="416">
        <v>849854</v>
      </c>
      <c r="I12" s="416">
        <v>427139</v>
      </c>
      <c r="J12" s="416">
        <v>422715</v>
      </c>
      <c r="K12" s="416">
        <v>113268</v>
      </c>
      <c r="L12" s="416">
        <v>52584</v>
      </c>
      <c r="M12" s="416">
        <v>60684</v>
      </c>
      <c r="N12" s="416">
        <v>75624</v>
      </c>
      <c r="O12" s="416">
        <v>13929</v>
      </c>
      <c r="P12" s="416">
        <v>61695</v>
      </c>
    </row>
    <row r="13" spans="1:16" ht="18" customHeight="1">
      <c r="A13" s="316" t="s">
        <v>545</v>
      </c>
      <c r="B13" s="426">
        <v>1978782</v>
      </c>
      <c r="C13" s="416">
        <v>999065</v>
      </c>
      <c r="D13" s="416">
        <v>979717</v>
      </c>
      <c r="E13" s="416">
        <v>925831</v>
      </c>
      <c r="F13" s="416">
        <v>500920</v>
      </c>
      <c r="G13" s="416">
        <v>424911</v>
      </c>
      <c r="H13" s="416">
        <v>855059</v>
      </c>
      <c r="I13" s="416">
        <v>428378</v>
      </c>
      <c r="J13" s="416">
        <v>426681</v>
      </c>
      <c r="K13" s="416">
        <v>119562</v>
      </c>
      <c r="L13" s="416">
        <v>55477</v>
      </c>
      <c r="M13" s="416">
        <v>64085</v>
      </c>
      <c r="N13" s="416">
        <v>78330</v>
      </c>
      <c r="O13" s="416">
        <v>14290</v>
      </c>
      <c r="P13" s="416">
        <v>64040</v>
      </c>
    </row>
    <row r="14" spans="1:16" ht="18" customHeight="1">
      <c r="A14" s="316" t="s">
        <v>168</v>
      </c>
      <c r="B14" s="426">
        <v>2002060</v>
      </c>
      <c r="C14" s="416">
        <v>1009274</v>
      </c>
      <c r="D14" s="416">
        <v>992786</v>
      </c>
      <c r="E14" s="416">
        <v>930610</v>
      </c>
      <c r="F14" s="416">
        <v>503933</v>
      </c>
      <c r="G14" s="416">
        <v>426677</v>
      </c>
      <c r="H14" s="416">
        <v>863580</v>
      </c>
      <c r="I14" s="416">
        <v>432113</v>
      </c>
      <c r="J14" s="416">
        <v>431467</v>
      </c>
      <c r="K14" s="416">
        <v>126761</v>
      </c>
      <c r="L14" s="416">
        <v>58697</v>
      </c>
      <c r="M14" s="416">
        <v>68064</v>
      </c>
      <c r="N14" s="416">
        <v>81109</v>
      </c>
      <c r="O14" s="416">
        <v>14531</v>
      </c>
      <c r="P14" s="416">
        <v>66578</v>
      </c>
    </row>
    <row r="15" spans="1:16" ht="18" customHeight="1">
      <c r="A15" s="316" t="s">
        <v>546</v>
      </c>
      <c r="B15" s="426">
        <f>C15+D15</f>
        <v>2013305</v>
      </c>
      <c r="C15" s="429">
        <f>SUM(C16:C34)</f>
        <v>1013618</v>
      </c>
      <c r="D15" s="429">
        <f>SUM(D16:D34)</f>
        <v>999687</v>
      </c>
      <c r="E15" s="416">
        <f>F15+G15</f>
        <v>925862</v>
      </c>
      <c r="F15" s="429">
        <f>SUM(F16:F34)</f>
        <v>501504</v>
      </c>
      <c r="G15" s="429">
        <f>SUM(G16:G34)</f>
        <v>424358</v>
      </c>
      <c r="H15" s="416">
        <f aca="true" t="shared" si="0" ref="H15:H34">I15+J15</f>
        <v>871428</v>
      </c>
      <c r="I15" s="429">
        <f>SUM(I16:I34)</f>
        <v>436165</v>
      </c>
      <c r="J15" s="429">
        <f>SUM(J16:J34)</f>
        <v>435263</v>
      </c>
      <c r="K15" s="416">
        <f>L15+M15</f>
        <v>132297</v>
      </c>
      <c r="L15" s="429">
        <f>SUM(L16:L34)</f>
        <v>61222</v>
      </c>
      <c r="M15" s="429">
        <f>SUM(M16:M34)</f>
        <v>71075</v>
      </c>
      <c r="N15" s="416">
        <f>O15+P15</f>
        <v>83718</v>
      </c>
      <c r="O15" s="429">
        <f>SUM(O16:O34)</f>
        <v>14727</v>
      </c>
      <c r="P15" s="429">
        <f>SUM(P16:P34)</f>
        <v>68991</v>
      </c>
    </row>
    <row r="16" spans="1:16" ht="18" customHeight="1">
      <c r="A16" s="328" t="s">
        <v>547</v>
      </c>
      <c r="B16" s="483">
        <f>C16+D16</f>
        <v>350658</v>
      </c>
      <c r="C16" s="431">
        <f>F16</f>
        <v>183207</v>
      </c>
      <c r="D16" s="431">
        <f>G16</f>
        <v>167451</v>
      </c>
      <c r="E16" s="416">
        <f>F16+G16</f>
        <v>350658</v>
      </c>
      <c r="F16" s="431">
        <v>183207</v>
      </c>
      <c r="G16" s="431">
        <v>167451</v>
      </c>
      <c r="H16" s="427" t="s">
        <v>784</v>
      </c>
      <c r="I16" s="484" t="s">
        <v>784</v>
      </c>
      <c r="J16" s="484" t="s">
        <v>784</v>
      </c>
      <c r="K16" s="427" t="s">
        <v>784</v>
      </c>
      <c r="L16" s="484" t="s">
        <v>784</v>
      </c>
      <c r="M16" s="484" t="s">
        <v>784</v>
      </c>
      <c r="N16" s="484" t="s">
        <v>784</v>
      </c>
      <c r="O16" s="484" t="s">
        <v>784</v>
      </c>
      <c r="P16" s="484" t="s">
        <v>784</v>
      </c>
    </row>
    <row r="17" spans="1:16" ht="18" customHeight="1">
      <c r="A17" s="328" t="s">
        <v>785</v>
      </c>
      <c r="B17" s="483">
        <f aca="true" t="shared" si="1" ref="B17:B34">C17+D17</f>
        <v>154275</v>
      </c>
      <c r="C17" s="431">
        <f>F17+I17+L17</f>
        <v>80840</v>
      </c>
      <c r="D17" s="431">
        <f>G17+J17+M17</f>
        <v>73435</v>
      </c>
      <c r="E17" s="416">
        <f>F17+G17</f>
        <v>153873</v>
      </c>
      <c r="F17" s="431">
        <v>80759</v>
      </c>
      <c r="G17" s="431">
        <v>73114</v>
      </c>
      <c r="H17" s="416">
        <f t="shared" si="0"/>
        <v>350</v>
      </c>
      <c r="I17" s="431">
        <v>69</v>
      </c>
      <c r="J17" s="431">
        <v>281</v>
      </c>
      <c r="K17" s="416">
        <f aca="true" t="shared" si="2" ref="K17:K33">L17+M17</f>
        <v>52</v>
      </c>
      <c r="L17" s="431">
        <v>12</v>
      </c>
      <c r="M17" s="431">
        <v>40</v>
      </c>
      <c r="N17" s="484" t="s">
        <v>60</v>
      </c>
      <c r="O17" s="484" t="s">
        <v>60</v>
      </c>
      <c r="P17" s="484" t="s">
        <v>60</v>
      </c>
    </row>
    <row r="18" spans="1:16" ht="18" customHeight="1">
      <c r="A18" s="328" t="s">
        <v>786</v>
      </c>
      <c r="B18" s="483">
        <f t="shared" si="1"/>
        <v>144772</v>
      </c>
      <c r="C18" s="431">
        <f aca="true" t="shared" si="3" ref="C18:D34">F18+I18+L18+O18</f>
        <v>75486</v>
      </c>
      <c r="D18" s="431">
        <f t="shared" si="3"/>
        <v>69286</v>
      </c>
      <c r="E18" s="416">
        <f aca="true" t="shared" si="4" ref="E18:E34">F18+G18</f>
        <v>138932</v>
      </c>
      <c r="F18" s="431">
        <v>73825</v>
      </c>
      <c r="G18" s="431">
        <v>65107</v>
      </c>
      <c r="H18" s="416">
        <f t="shared" si="0"/>
        <v>4976</v>
      </c>
      <c r="I18" s="431">
        <v>1423</v>
      </c>
      <c r="J18" s="431">
        <v>3553</v>
      </c>
      <c r="K18" s="416">
        <f t="shared" si="2"/>
        <v>853</v>
      </c>
      <c r="L18" s="431">
        <v>237</v>
      </c>
      <c r="M18" s="431">
        <v>616</v>
      </c>
      <c r="N18" s="416">
        <f aca="true" t="shared" si="5" ref="N18:N34">O18+P18</f>
        <v>11</v>
      </c>
      <c r="O18" s="431">
        <v>1</v>
      </c>
      <c r="P18" s="431">
        <v>10</v>
      </c>
    </row>
    <row r="19" spans="1:16" ht="18" customHeight="1">
      <c r="A19" s="328" t="s">
        <v>787</v>
      </c>
      <c r="B19" s="483">
        <f t="shared" si="1"/>
        <v>155610</v>
      </c>
      <c r="C19" s="431">
        <f t="shared" si="3"/>
        <v>78941</v>
      </c>
      <c r="D19" s="431">
        <f t="shared" si="3"/>
        <v>76669</v>
      </c>
      <c r="E19" s="416">
        <f t="shared" si="4"/>
        <v>114928</v>
      </c>
      <c r="F19" s="431">
        <v>64925</v>
      </c>
      <c r="G19" s="431">
        <v>50003</v>
      </c>
      <c r="H19" s="416">
        <f t="shared" si="0"/>
        <v>35525</v>
      </c>
      <c r="I19" s="431">
        <v>12502</v>
      </c>
      <c r="J19" s="431">
        <v>23023</v>
      </c>
      <c r="K19" s="416">
        <f t="shared" si="2"/>
        <v>5010</v>
      </c>
      <c r="L19" s="431">
        <v>1510</v>
      </c>
      <c r="M19" s="431">
        <v>3500</v>
      </c>
      <c r="N19" s="416">
        <f t="shared" si="5"/>
        <v>147</v>
      </c>
      <c r="O19" s="430">
        <v>4</v>
      </c>
      <c r="P19" s="431">
        <v>143</v>
      </c>
    </row>
    <row r="20" spans="1:16" ht="18" customHeight="1">
      <c r="A20" s="328" t="s">
        <v>788</v>
      </c>
      <c r="B20" s="483">
        <f t="shared" si="1"/>
        <v>180379</v>
      </c>
      <c r="C20" s="431">
        <f t="shared" si="3"/>
        <v>88913</v>
      </c>
      <c r="D20" s="431">
        <f t="shared" si="3"/>
        <v>91466</v>
      </c>
      <c r="E20" s="416">
        <f t="shared" si="4"/>
        <v>73120</v>
      </c>
      <c r="F20" s="431">
        <v>44458</v>
      </c>
      <c r="G20" s="431">
        <v>28662</v>
      </c>
      <c r="H20" s="416">
        <f t="shared" si="0"/>
        <v>93353</v>
      </c>
      <c r="I20" s="431">
        <v>39160</v>
      </c>
      <c r="J20" s="431">
        <v>54193</v>
      </c>
      <c r="K20" s="416">
        <f t="shared" si="2"/>
        <v>13448</v>
      </c>
      <c r="L20" s="431">
        <v>5244</v>
      </c>
      <c r="M20" s="431">
        <v>8204</v>
      </c>
      <c r="N20" s="416">
        <f t="shared" si="5"/>
        <v>458</v>
      </c>
      <c r="O20" s="430">
        <v>51</v>
      </c>
      <c r="P20" s="431">
        <v>407</v>
      </c>
    </row>
    <row r="21" spans="1:16" ht="18" customHeight="1">
      <c r="A21" s="328" t="s">
        <v>789</v>
      </c>
      <c r="B21" s="483">
        <f t="shared" si="1"/>
        <v>169176</v>
      </c>
      <c r="C21" s="431">
        <f t="shared" si="3"/>
        <v>83548</v>
      </c>
      <c r="D21" s="431">
        <f t="shared" si="3"/>
        <v>85628</v>
      </c>
      <c r="E21" s="416">
        <f t="shared" si="4"/>
        <v>36101</v>
      </c>
      <c r="F21" s="431">
        <v>21877</v>
      </c>
      <c r="G21" s="431">
        <v>14224</v>
      </c>
      <c r="H21" s="416">
        <f t="shared" si="0"/>
        <v>113251</v>
      </c>
      <c r="I21" s="431">
        <v>53240</v>
      </c>
      <c r="J21" s="431">
        <v>60011</v>
      </c>
      <c r="K21" s="416">
        <f t="shared" si="2"/>
        <v>18807</v>
      </c>
      <c r="L21" s="431">
        <v>8331</v>
      </c>
      <c r="M21" s="431">
        <v>10476</v>
      </c>
      <c r="N21" s="416">
        <f t="shared" si="5"/>
        <v>1017</v>
      </c>
      <c r="O21" s="430">
        <v>100</v>
      </c>
      <c r="P21" s="431">
        <v>917</v>
      </c>
    </row>
    <row r="22" spans="1:16" ht="18" customHeight="1">
      <c r="A22" s="328" t="s">
        <v>790</v>
      </c>
      <c r="B22" s="483">
        <f t="shared" si="1"/>
        <v>168300</v>
      </c>
      <c r="C22" s="431">
        <f t="shared" si="3"/>
        <v>83381</v>
      </c>
      <c r="D22" s="431">
        <f t="shared" si="3"/>
        <v>84919</v>
      </c>
      <c r="E22" s="416">
        <f t="shared" si="4"/>
        <v>22352</v>
      </c>
      <c r="F22" s="431">
        <v>12926</v>
      </c>
      <c r="G22" s="431">
        <v>9426</v>
      </c>
      <c r="H22" s="416">
        <f t="shared" si="0"/>
        <v>121407</v>
      </c>
      <c r="I22" s="431">
        <v>59709</v>
      </c>
      <c r="J22" s="431">
        <v>61698</v>
      </c>
      <c r="K22" s="416">
        <f t="shared" si="2"/>
        <v>22624</v>
      </c>
      <c r="L22" s="431">
        <v>10491</v>
      </c>
      <c r="M22" s="431">
        <v>12133</v>
      </c>
      <c r="N22" s="416">
        <f t="shared" si="5"/>
        <v>1917</v>
      </c>
      <c r="O22" s="430">
        <v>255</v>
      </c>
      <c r="P22" s="431">
        <v>1662</v>
      </c>
    </row>
    <row r="23" spans="1:16" ht="18" customHeight="1">
      <c r="A23" s="328" t="s">
        <v>791</v>
      </c>
      <c r="B23" s="483">
        <f t="shared" si="1"/>
        <v>167496</v>
      </c>
      <c r="C23" s="431">
        <f t="shared" si="3"/>
        <v>82920</v>
      </c>
      <c r="D23" s="431">
        <f t="shared" si="3"/>
        <v>84576</v>
      </c>
      <c r="E23" s="416">
        <f t="shared" si="4"/>
        <v>14627</v>
      </c>
      <c r="F23" s="431">
        <v>8105</v>
      </c>
      <c r="G23" s="431">
        <v>6522</v>
      </c>
      <c r="H23" s="416">
        <f t="shared" si="0"/>
        <v>125848</v>
      </c>
      <c r="I23" s="431">
        <v>63225</v>
      </c>
      <c r="J23" s="431">
        <v>62623</v>
      </c>
      <c r="K23" s="416">
        <f t="shared" si="2"/>
        <v>23375</v>
      </c>
      <c r="L23" s="431">
        <v>11079</v>
      </c>
      <c r="M23" s="431">
        <v>12296</v>
      </c>
      <c r="N23" s="416">
        <f t="shared" si="5"/>
        <v>3646</v>
      </c>
      <c r="O23" s="430">
        <v>511</v>
      </c>
      <c r="P23" s="431">
        <v>3135</v>
      </c>
    </row>
    <row r="24" spans="1:16" ht="18" customHeight="1">
      <c r="A24" s="328" t="s">
        <v>792</v>
      </c>
      <c r="B24" s="483">
        <f t="shared" si="1"/>
        <v>146921</v>
      </c>
      <c r="C24" s="431">
        <f t="shared" si="3"/>
        <v>72386</v>
      </c>
      <c r="D24" s="431">
        <f t="shared" si="3"/>
        <v>74535</v>
      </c>
      <c r="E24" s="416">
        <f t="shared" si="4"/>
        <v>8458</v>
      </c>
      <c r="F24" s="431">
        <v>4522</v>
      </c>
      <c r="G24" s="431">
        <v>3936</v>
      </c>
      <c r="H24" s="416">
        <f t="shared" si="0"/>
        <v>112585</v>
      </c>
      <c r="I24" s="431">
        <v>57805</v>
      </c>
      <c r="J24" s="431">
        <v>54780</v>
      </c>
      <c r="K24" s="416">
        <f t="shared" si="2"/>
        <v>19853</v>
      </c>
      <c r="L24" s="431">
        <v>9268</v>
      </c>
      <c r="M24" s="431">
        <v>10585</v>
      </c>
      <c r="N24" s="416">
        <f t="shared" si="5"/>
        <v>6025</v>
      </c>
      <c r="O24" s="430">
        <v>791</v>
      </c>
      <c r="P24" s="431">
        <v>5234</v>
      </c>
    </row>
    <row r="25" spans="1:16" ht="18" customHeight="1">
      <c r="A25" s="328" t="s">
        <v>0</v>
      </c>
      <c r="B25" s="483">
        <f t="shared" si="1"/>
        <v>124050</v>
      </c>
      <c r="C25" s="431">
        <f t="shared" si="3"/>
        <v>59958</v>
      </c>
      <c r="D25" s="431">
        <f t="shared" si="3"/>
        <v>64092</v>
      </c>
      <c r="E25" s="416">
        <f t="shared" si="4"/>
        <v>5070</v>
      </c>
      <c r="F25" s="431">
        <v>2401</v>
      </c>
      <c r="G25" s="431">
        <v>2669</v>
      </c>
      <c r="H25" s="416">
        <f t="shared" si="0"/>
        <v>95363</v>
      </c>
      <c r="I25" s="431">
        <v>49380</v>
      </c>
      <c r="J25" s="431">
        <v>45983</v>
      </c>
      <c r="K25" s="416">
        <f t="shared" si="2"/>
        <v>14371</v>
      </c>
      <c r="L25" s="431">
        <v>7028</v>
      </c>
      <c r="M25" s="431">
        <v>7343</v>
      </c>
      <c r="N25" s="416">
        <f t="shared" si="5"/>
        <v>9246</v>
      </c>
      <c r="O25" s="430">
        <v>1149</v>
      </c>
      <c r="P25" s="431">
        <v>8097</v>
      </c>
    </row>
    <row r="26" spans="1:16" ht="18" customHeight="1">
      <c r="A26" s="328" t="s">
        <v>1</v>
      </c>
      <c r="B26" s="483">
        <f t="shared" si="1"/>
        <v>83098</v>
      </c>
      <c r="C26" s="431">
        <f t="shared" si="3"/>
        <v>39346</v>
      </c>
      <c r="D26" s="431">
        <f t="shared" si="3"/>
        <v>43752</v>
      </c>
      <c r="E26" s="416">
        <f t="shared" si="4"/>
        <v>2466</v>
      </c>
      <c r="F26" s="431">
        <v>1124</v>
      </c>
      <c r="G26" s="431">
        <v>1342</v>
      </c>
      <c r="H26" s="416">
        <f t="shared" si="0"/>
        <v>62677</v>
      </c>
      <c r="I26" s="431">
        <v>33105</v>
      </c>
      <c r="J26" s="431">
        <v>29572</v>
      </c>
      <c r="K26" s="416">
        <f t="shared" si="2"/>
        <v>7209</v>
      </c>
      <c r="L26" s="431">
        <v>3825</v>
      </c>
      <c r="M26" s="431">
        <v>3384</v>
      </c>
      <c r="N26" s="416">
        <f t="shared" si="5"/>
        <v>10746</v>
      </c>
      <c r="O26" s="430">
        <v>1292</v>
      </c>
      <c r="P26" s="431">
        <v>9454</v>
      </c>
    </row>
    <row r="27" spans="1:16" ht="18" customHeight="1">
      <c r="A27" s="328" t="s">
        <v>2</v>
      </c>
      <c r="B27" s="483">
        <f t="shared" si="1"/>
        <v>49120</v>
      </c>
      <c r="C27" s="431">
        <f t="shared" si="3"/>
        <v>22490</v>
      </c>
      <c r="D27" s="431">
        <f t="shared" si="3"/>
        <v>26630</v>
      </c>
      <c r="E27" s="416">
        <f t="shared" si="4"/>
        <v>1031</v>
      </c>
      <c r="F27" s="431">
        <v>489</v>
      </c>
      <c r="G27" s="431">
        <v>542</v>
      </c>
      <c r="H27" s="416">
        <f t="shared" si="0"/>
        <v>35709</v>
      </c>
      <c r="I27" s="431">
        <v>19213</v>
      </c>
      <c r="J27" s="431">
        <v>16496</v>
      </c>
      <c r="K27" s="416">
        <f t="shared" si="2"/>
        <v>2807</v>
      </c>
      <c r="L27" s="431">
        <v>1607</v>
      </c>
      <c r="M27" s="431">
        <v>1200</v>
      </c>
      <c r="N27" s="416">
        <f t="shared" si="5"/>
        <v>9573</v>
      </c>
      <c r="O27" s="430">
        <v>1181</v>
      </c>
      <c r="P27" s="431">
        <v>8392</v>
      </c>
    </row>
    <row r="28" spans="1:16" ht="18" customHeight="1">
      <c r="A28" s="328" t="s">
        <v>3</v>
      </c>
      <c r="B28" s="483">
        <f t="shared" si="1"/>
        <v>41700</v>
      </c>
      <c r="C28" s="431">
        <f t="shared" si="3"/>
        <v>18584</v>
      </c>
      <c r="D28" s="431">
        <f t="shared" si="3"/>
        <v>23116</v>
      </c>
      <c r="E28" s="416">
        <f t="shared" si="4"/>
        <v>852</v>
      </c>
      <c r="F28" s="431">
        <v>397</v>
      </c>
      <c r="G28" s="431">
        <v>455</v>
      </c>
      <c r="H28" s="416">
        <f t="shared" si="0"/>
        <v>28071</v>
      </c>
      <c r="I28" s="431">
        <v>15512</v>
      </c>
      <c r="J28" s="431">
        <v>12559</v>
      </c>
      <c r="K28" s="416">
        <f t="shared" si="2"/>
        <v>1541</v>
      </c>
      <c r="L28" s="431">
        <v>868</v>
      </c>
      <c r="M28" s="431">
        <v>673</v>
      </c>
      <c r="N28" s="416">
        <f t="shared" si="5"/>
        <v>11236</v>
      </c>
      <c r="O28" s="430">
        <v>1807</v>
      </c>
      <c r="P28" s="431">
        <v>9429</v>
      </c>
    </row>
    <row r="29" spans="1:16" ht="18" customHeight="1">
      <c r="A29" s="328" t="s">
        <v>4</v>
      </c>
      <c r="B29" s="483">
        <f t="shared" si="1"/>
        <v>30459</v>
      </c>
      <c r="C29" s="431">
        <f t="shared" si="3"/>
        <v>14832</v>
      </c>
      <c r="D29" s="431">
        <f t="shared" si="3"/>
        <v>15627</v>
      </c>
      <c r="E29" s="416">
        <f t="shared" si="4"/>
        <v>754</v>
      </c>
      <c r="F29" s="431">
        <v>440</v>
      </c>
      <c r="G29" s="431">
        <v>314</v>
      </c>
      <c r="H29" s="416">
        <f t="shared" si="0"/>
        <v>18234</v>
      </c>
      <c r="I29" s="431">
        <v>11693</v>
      </c>
      <c r="J29" s="431">
        <v>6541</v>
      </c>
      <c r="K29" s="416">
        <f t="shared" si="2"/>
        <v>853</v>
      </c>
      <c r="L29" s="431">
        <v>536</v>
      </c>
      <c r="M29" s="431">
        <v>317</v>
      </c>
      <c r="N29" s="416">
        <f t="shared" si="5"/>
        <v>10618</v>
      </c>
      <c r="O29" s="430">
        <v>2163</v>
      </c>
      <c r="P29" s="431">
        <v>8455</v>
      </c>
    </row>
    <row r="30" spans="1:16" ht="18" customHeight="1">
      <c r="A30" s="328" t="s">
        <v>5</v>
      </c>
      <c r="B30" s="483">
        <f t="shared" si="1"/>
        <v>28572</v>
      </c>
      <c r="C30" s="431">
        <f t="shared" si="3"/>
        <v>18113</v>
      </c>
      <c r="D30" s="431">
        <f t="shared" si="3"/>
        <v>10459</v>
      </c>
      <c r="E30" s="416">
        <f t="shared" si="4"/>
        <v>1203</v>
      </c>
      <c r="F30" s="431">
        <v>933</v>
      </c>
      <c r="G30" s="431">
        <v>270</v>
      </c>
      <c r="H30" s="416">
        <f t="shared" si="0"/>
        <v>16688</v>
      </c>
      <c r="I30" s="431">
        <v>13733</v>
      </c>
      <c r="J30" s="431">
        <v>2955</v>
      </c>
      <c r="K30" s="416">
        <f t="shared" si="2"/>
        <v>934</v>
      </c>
      <c r="L30" s="431">
        <v>736</v>
      </c>
      <c r="M30" s="431">
        <v>198</v>
      </c>
      <c r="N30" s="416">
        <f t="shared" si="5"/>
        <v>9747</v>
      </c>
      <c r="O30" s="430">
        <v>2711</v>
      </c>
      <c r="P30" s="431">
        <v>7036</v>
      </c>
    </row>
    <row r="31" spans="1:16" ht="18" customHeight="1">
      <c r="A31" s="328" t="s">
        <v>6</v>
      </c>
      <c r="B31" s="483">
        <f t="shared" si="1"/>
        <v>13699</v>
      </c>
      <c r="C31" s="431">
        <f t="shared" si="3"/>
        <v>8179</v>
      </c>
      <c r="D31" s="431">
        <f t="shared" si="3"/>
        <v>5520</v>
      </c>
      <c r="E31" s="416">
        <f t="shared" si="4"/>
        <v>972</v>
      </c>
      <c r="F31" s="431">
        <v>774</v>
      </c>
      <c r="G31" s="431">
        <v>198</v>
      </c>
      <c r="H31" s="416">
        <f t="shared" si="0"/>
        <v>6041</v>
      </c>
      <c r="I31" s="431">
        <v>5220</v>
      </c>
      <c r="J31" s="431">
        <v>821</v>
      </c>
      <c r="K31" s="416">
        <f t="shared" si="2"/>
        <v>441</v>
      </c>
      <c r="L31" s="431">
        <v>366</v>
      </c>
      <c r="M31" s="431">
        <v>75</v>
      </c>
      <c r="N31" s="416">
        <f t="shared" si="5"/>
        <v>6245</v>
      </c>
      <c r="O31" s="430">
        <v>1819</v>
      </c>
      <c r="P31" s="431">
        <v>4426</v>
      </c>
    </row>
    <row r="32" spans="1:16" ht="18" customHeight="1">
      <c r="A32" s="328" t="s">
        <v>7</v>
      </c>
      <c r="B32" s="483">
        <f t="shared" si="1"/>
        <v>4029</v>
      </c>
      <c r="C32" s="431">
        <f t="shared" si="3"/>
        <v>2067</v>
      </c>
      <c r="D32" s="431">
        <f t="shared" si="3"/>
        <v>1962</v>
      </c>
      <c r="E32" s="416">
        <f t="shared" si="4"/>
        <v>345</v>
      </c>
      <c r="F32" s="431">
        <v>259</v>
      </c>
      <c r="G32" s="431">
        <v>86</v>
      </c>
      <c r="H32" s="416">
        <f t="shared" si="0"/>
        <v>1184</v>
      </c>
      <c r="I32" s="431">
        <v>1035</v>
      </c>
      <c r="J32" s="431">
        <v>149</v>
      </c>
      <c r="K32" s="416">
        <f t="shared" si="2"/>
        <v>104</v>
      </c>
      <c r="L32" s="431">
        <v>73</v>
      </c>
      <c r="M32" s="431">
        <v>31</v>
      </c>
      <c r="N32" s="416">
        <f t="shared" si="5"/>
        <v>2396</v>
      </c>
      <c r="O32" s="430">
        <v>700</v>
      </c>
      <c r="P32" s="431">
        <v>1696</v>
      </c>
    </row>
    <row r="33" spans="1:16" ht="18" customHeight="1">
      <c r="A33" s="328" t="s">
        <v>8</v>
      </c>
      <c r="B33" s="483">
        <f t="shared" si="1"/>
        <v>865</v>
      </c>
      <c r="C33" s="431">
        <f t="shared" si="3"/>
        <v>374</v>
      </c>
      <c r="D33" s="431">
        <f t="shared" si="3"/>
        <v>491</v>
      </c>
      <c r="E33" s="416">
        <f t="shared" si="4"/>
        <v>103</v>
      </c>
      <c r="F33" s="431">
        <v>71</v>
      </c>
      <c r="G33" s="431">
        <v>32</v>
      </c>
      <c r="H33" s="416">
        <f t="shared" si="0"/>
        <v>149</v>
      </c>
      <c r="I33" s="431">
        <v>126</v>
      </c>
      <c r="J33" s="431">
        <v>23</v>
      </c>
      <c r="K33" s="416">
        <f t="shared" si="2"/>
        <v>12</v>
      </c>
      <c r="L33" s="431">
        <v>8</v>
      </c>
      <c r="M33" s="431">
        <v>4</v>
      </c>
      <c r="N33" s="416">
        <f t="shared" si="5"/>
        <v>601</v>
      </c>
      <c r="O33" s="430">
        <v>169</v>
      </c>
      <c r="P33" s="431">
        <v>432</v>
      </c>
    </row>
    <row r="34" spans="1:16" ht="18" customHeight="1" thickBot="1">
      <c r="A34" s="323" t="s">
        <v>9</v>
      </c>
      <c r="B34" s="485">
        <f t="shared" si="1"/>
        <v>126</v>
      </c>
      <c r="C34" s="486">
        <f t="shared" si="3"/>
        <v>53</v>
      </c>
      <c r="D34" s="486">
        <f>G34+J34+P34</f>
        <v>73</v>
      </c>
      <c r="E34" s="418">
        <f t="shared" si="4"/>
        <v>17</v>
      </c>
      <c r="F34" s="486">
        <v>12</v>
      </c>
      <c r="G34" s="486">
        <v>5</v>
      </c>
      <c r="H34" s="418">
        <f t="shared" si="0"/>
        <v>17</v>
      </c>
      <c r="I34" s="486">
        <v>15</v>
      </c>
      <c r="J34" s="486">
        <v>2</v>
      </c>
      <c r="K34" s="418">
        <f>L34</f>
        <v>3</v>
      </c>
      <c r="L34" s="487">
        <v>3</v>
      </c>
      <c r="M34" s="538" t="s">
        <v>784</v>
      </c>
      <c r="N34" s="418">
        <f t="shared" si="5"/>
        <v>89</v>
      </c>
      <c r="O34" s="487">
        <v>23</v>
      </c>
      <c r="P34" s="486">
        <v>66</v>
      </c>
    </row>
    <row r="35" spans="1:9" ht="13.5" customHeight="1">
      <c r="A35" s="125" t="s">
        <v>544</v>
      </c>
      <c r="I35" s="127" t="s">
        <v>782</v>
      </c>
    </row>
  </sheetData>
  <mergeCells count="2">
    <mergeCell ref="A2:H2"/>
    <mergeCell ref="I2:P2"/>
  </mergeCells>
  <printOptions horizontalCentered="1"/>
  <pageMargins left="1.1811023622047245" right="1.1811023622047245" top="1.5748031496062993" bottom="1.5748031496062993" header="0.5118110236220472" footer="0.9055118110236221"/>
  <pageSetup firstPageNumber="4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20" zoomScaleNormal="120" workbookViewId="0" topLeftCell="A1">
      <selection activeCell="A2" sqref="A2:G2"/>
    </sheetView>
  </sheetViews>
  <sheetFormatPr defaultColWidth="9.00390625" defaultRowHeight="21.75" customHeight="1"/>
  <cols>
    <col min="1" max="1" width="22.125" style="15" customWidth="1"/>
    <col min="2" max="2" width="9.125" style="13" customWidth="1"/>
    <col min="3" max="4" width="8.625" style="13" customWidth="1"/>
    <col min="5" max="5" width="9.125" style="13" customWidth="1"/>
    <col min="6" max="6" width="8.625" style="58" customWidth="1"/>
    <col min="7" max="7" width="8.625" style="7" customWidth="1"/>
    <col min="8" max="8" width="8.625" style="59" customWidth="1"/>
    <col min="9" max="10" width="8.125" style="13" customWidth="1"/>
    <col min="11" max="11" width="8.625" style="13" customWidth="1"/>
    <col min="12" max="13" width="8.125" style="13" customWidth="1"/>
    <col min="14" max="14" width="8.625" style="13" customWidth="1"/>
    <col min="15" max="15" width="8.125" style="58" customWidth="1"/>
    <col min="16" max="16" width="8.125" style="36" customWidth="1"/>
    <col min="17" max="16384" width="10.625" style="7" customWidth="1"/>
  </cols>
  <sheetData>
    <row r="1" spans="1:16" s="15" customFormat="1" ht="18" customHeight="1">
      <c r="A1" s="118" t="s">
        <v>11</v>
      </c>
      <c r="B1" s="16"/>
      <c r="C1" s="16"/>
      <c r="D1" s="16"/>
      <c r="E1" s="16"/>
      <c r="F1" s="38"/>
      <c r="G1" s="16"/>
      <c r="H1" s="52"/>
      <c r="I1" s="16"/>
      <c r="J1" s="16"/>
      <c r="K1" s="16"/>
      <c r="L1" s="16"/>
      <c r="M1" s="16"/>
      <c r="N1" s="16"/>
      <c r="O1" s="38"/>
      <c r="P1" s="75" t="s">
        <v>392</v>
      </c>
    </row>
    <row r="2" spans="1:16" s="19" customFormat="1" ht="24.75" customHeight="1">
      <c r="A2" s="582" t="s">
        <v>24</v>
      </c>
      <c r="B2" s="576"/>
      <c r="C2" s="576"/>
      <c r="D2" s="576"/>
      <c r="E2" s="576"/>
      <c r="F2" s="576"/>
      <c r="G2" s="576"/>
      <c r="H2" s="576" t="s">
        <v>25</v>
      </c>
      <c r="I2" s="576"/>
      <c r="J2" s="576"/>
      <c r="K2" s="576"/>
      <c r="L2" s="576"/>
      <c r="M2" s="576"/>
      <c r="N2" s="576"/>
      <c r="O2" s="576"/>
      <c r="P2" s="576"/>
    </row>
    <row r="3" spans="1:16" ht="18.75" customHeight="1" thickBot="1">
      <c r="A3" s="1"/>
      <c r="B3" s="4"/>
      <c r="C3" s="4"/>
      <c r="D3" s="4"/>
      <c r="E3" s="4"/>
      <c r="F3" s="37"/>
      <c r="G3" s="200" t="s">
        <v>12</v>
      </c>
      <c r="H3" s="7"/>
      <c r="I3" s="4"/>
      <c r="J3" s="4"/>
      <c r="K3" s="4"/>
      <c r="L3" s="4"/>
      <c r="M3" s="4"/>
      <c r="N3" s="4"/>
      <c r="O3" s="37"/>
      <c r="P3" s="55" t="s">
        <v>393</v>
      </c>
    </row>
    <row r="4" spans="1:16" ht="39.75" customHeight="1">
      <c r="A4" s="138" t="s">
        <v>13</v>
      </c>
      <c r="B4" s="707" t="s">
        <v>14</v>
      </c>
      <c r="C4" s="601"/>
      <c r="D4" s="600"/>
      <c r="E4" s="599" t="s">
        <v>15</v>
      </c>
      <c r="F4" s="601"/>
      <c r="G4" s="600"/>
      <c r="H4" s="706" t="s">
        <v>16</v>
      </c>
      <c r="I4" s="601"/>
      <c r="J4" s="600"/>
      <c r="K4" s="599" t="s">
        <v>17</v>
      </c>
      <c r="L4" s="585"/>
      <c r="M4" s="586"/>
      <c r="N4" s="599" t="s">
        <v>18</v>
      </c>
      <c r="O4" s="585"/>
      <c r="P4" s="585"/>
    </row>
    <row r="5" spans="1:16" ht="39.75" customHeight="1" thickBot="1">
      <c r="A5" s="60" t="s">
        <v>19</v>
      </c>
      <c r="B5" s="88" t="s">
        <v>20</v>
      </c>
      <c r="C5" s="88" t="s">
        <v>21</v>
      </c>
      <c r="D5" s="88" t="s">
        <v>22</v>
      </c>
      <c r="E5" s="540" t="s">
        <v>20</v>
      </c>
      <c r="F5" s="88" t="s">
        <v>21</v>
      </c>
      <c r="G5" s="88" t="s">
        <v>22</v>
      </c>
      <c r="H5" s="164" t="s">
        <v>20</v>
      </c>
      <c r="I5" s="164" t="s">
        <v>21</v>
      </c>
      <c r="J5" s="88" t="s">
        <v>22</v>
      </c>
      <c r="K5" s="88" t="s">
        <v>20</v>
      </c>
      <c r="L5" s="164" t="s">
        <v>21</v>
      </c>
      <c r="M5" s="88" t="s">
        <v>22</v>
      </c>
      <c r="N5" s="88" t="s">
        <v>20</v>
      </c>
      <c r="O5" s="164" t="s">
        <v>21</v>
      </c>
      <c r="P5" s="539" t="s">
        <v>22</v>
      </c>
    </row>
    <row r="6" spans="1:16" ht="34.5" customHeight="1">
      <c r="A6" s="102" t="s">
        <v>525</v>
      </c>
      <c r="B6" s="420">
        <f aca="true" t="shared" si="0" ref="B6:P6">SUM(B7:B19)</f>
        <v>2013305</v>
      </c>
      <c r="C6" s="411">
        <f t="shared" si="0"/>
        <v>1013618</v>
      </c>
      <c r="D6" s="411">
        <f t="shared" si="0"/>
        <v>999687</v>
      </c>
      <c r="E6" s="411">
        <f t="shared" si="0"/>
        <v>925862</v>
      </c>
      <c r="F6" s="411">
        <f t="shared" si="0"/>
        <v>501504</v>
      </c>
      <c r="G6" s="411">
        <f t="shared" si="0"/>
        <v>424358</v>
      </c>
      <c r="H6" s="411">
        <f t="shared" si="0"/>
        <v>871428</v>
      </c>
      <c r="I6" s="411">
        <f t="shared" si="0"/>
        <v>436165</v>
      </c>
      <c r="J6" s="411">
        <f t="shared" si="0"/>
        <v>435263</v>
      </c>
      <c r="K6" s="411">
        <f t="shared" si="0"/>
        <v>132297</v>
      </c>
      <c r="L6" s="411">
        <f t="shared" si="0"/>
        <v>61222</v>
      </c>
      <c r="M6" s="411">
        <f t="shared" si="0"/>
        <v>71075</v>
      </c>
      <c r="N6" s="411">
        <f t="shared" si="0"/>
        <v>83718</v>
      </c>
      <c r="O6" s="411">
        <f t="shared" si="0"/>
        <v>14727</v>
      </c>
      <c r="P6" s="411">
        <f t="shared" si="0"/>
        <v>68991</v>
      </c>
    </row>
    <row r="7" spans="1:16" ht="34.5" customHeight="1">
      <c r="A7" s="184" t="s">
        <v>548</v>
      </c>
      <c r="B7" s="423">
        <f>E7+H7+K7+N7</f>
        <v>410113</v>
      </c>
      <c r="C7" s="39">
        <f>F7+I7+L7+O7</f>
        <v>200696</v>
      </c>
      <c r="D7" s="39">
        <f>G7+J7+M7+P7</f>
        <v>209417</v>
      </c>
      <c r="E7" s="39">
        <f>SUM(F7:G7)</f>
        <v>192719</v>
      </c>
      <c r="F7" s="39">
        <v>101671</v>
      </c>
      <c r="G7" s="39">
        <v>91048</v>
      </c>
      <c r="H7" s="445">
        <f>SUM(I7:J7)</f>
        <v>173467</v>
      </c>
      <c r="I7" s="39">
        <v>84345</v>
      </c>
      <c r="J7" s="39">
        <v>89122</v>
      </c>
      <c r="K7" s="39">
        <f>SUM(L7:M7)</f>
        <v>29464</v>
      </c>
      <c r="L7" s="39">
        <v>12253</v>
      </c>
      <c r="M7" s="39">
        <v>17211</v>
      </c>
      <c r="N7" s="39">
        <f>SUM(O7:P7)</f>
        <v>14463</v>
      </c>
      <c r="O7" s="39">
        <v>2427</v>
      </c>
      <c r="P7" s="39">
        <v>12036</v>
      </c>
    </row>
    <row r="8" spans="1:16" ht="34.5" customHeight="1">
      <c r="A8" s="184" t="s">
        <v>549</v>
      </c>
      <c r="B8" s="423">
        <f aca="true" t="shared" si="1" ref="B8:D19">E8+H8+K8+N8</f>
        <v>372429</v>
      </c>
      <c r="C8" s="39">
        <f t="shared" si="1"/>
        <v>185683</v>
      </c>
      <c r="D8" s="39">
        <f>G8+J8+M8+P8</f>
        <v>186746</v>
      </c>
      <c r="E8" s="39">
        <f aca="true" t="shared" si="2" ref="E8:E19">SUM(F8:G8)</f>
        <v>170585</v>
      </c>
      <c r="F8" s="39">
        <v>92220</v>
      </c>
      <c r="G8" s="39">
        <v>78365</v>
      </c>
      <c r="H8" s="445">
        <f aca="true" t="shared" si="3" ref="H8:H18">SUM(I8:J8)</f>
        <v>161092</v>
      </c>
      <c r="I8" s="39">
        <v>79793</v>
      </c>
      <c r="J8" s="39">
        <v>81299</v>
      </c>
      <c r="K8" s="39">
        <f aca="true" t="shared" si="4" ref="K8:K19">SUM(L8:M8)</f>
        <v>24836</v>
      </c>
      <c r="L8" s="39">
        <v>11137</v>
      </c>
      <c r="M8" s="39">
        <v>13699</v>
      </c>
      <c r="N8" s="39">
        <f aca="true" t="shared" si="5" ref="N8:N19">SUM(O8:P8)</f>
        <v>15916</v>
      </c>
      <c r="O8" s="39">
        <v>2533</v>
      </c>
      <c r="P8" s="39">
        <v>13383</v>
      </c>
    </row>
    <row r="9" spans="1:16" ht="34.5" customHeight="1">
      <c r="A9" s="184" t="s">
        <v>550</v>
      </c>
      <c r="B9" s="423">
        <f t="shared" si="1"/>
        <v>208561</v>
      </c>
      <c r="C9" s="39">
        <f t="shared" si="1"/>
        <v>104912</v>
      </c>
      <c r="D9" s="39">
        <f t="shared" si="1"/>
        <v>103649</v>
      </c>
      <c r="E9" s="39">
        <f t="shared" si="2"/>
        <v>97620</v>
      </c>
      <c r="F9" s="39">
        <v>53373</v>
      </c>
      <c r="G9" s="39">
        <v>44247</v>
      </c>
      <c r="H9" s="445">
        <f t="shared" si="3"/>
        <v>89098</v>
      </c>
      <c r="I9" s="39">
        <v>43923</v>
      </c>
      <c r="J9" s="39">
        <v>45175</v>
      </c>
      <c r="K9" s="39">
        <f t="shared" si="4"/>
        <v>13595</v>
      </c>
      <c r="L9" s="39">
        <v>6253</v>
      </c>
      <c r="M9" s="39">
        <v>7342</v>
      </c>
      <c r="N9" s="39">
        <f t="shared" si="5"/>
        <v>8248</v>
      </c>
      <c r="O9" s="39">
        <v>1363</v>
      </c>
      <c r="P9" s="39">
        <v>6885</v>
      </c>
    </row>
    <row r="10" spans="1:16" ht="34.5" customHeight="1">
      <c r="A10" s="184" t="s">
        <v>551</v>
      </c>
      <c r="B10" s="423">
        <f t="shared" si="1"/>
        <v>177435</v>
      </c>
      <c r="C10" s="39">
        <f t="shared" si="1"/>
        <v>90039</v>
      </c>
      <c r="D10" s="39">
        <f t="shared" si="1"/>
        <v>87396</v>
      </c>
      <c r="E10" s="39">
        <f t="shared" si="2"/>
        <v>81755</v>
      </c>
      <c r="F10" s="39">
        <v>44954</v>
      </c>
      <c r="G10" s="39">
        <v>36801</v>
      </c>
      <c r="H10" s="445">
        <f t="shared" si="3"/>
        <v>75819</v>
      </c>
      <c r="I10" s="39">
        <v>38166</v>
      </c>
      <c r="J10" s="39">
        <v>37653</v>
      </c>
      <c r="K10" s="39">
        <f t="shared" si="4"/>
        <v>12030</v>
      </c>
      <c r="L10" s="39">
        <v>5669</v>
      </c>
      <c r="M10" s="39">
        <v>6361</v>
      </c>
      <c r="N10" s="39">
        <f t="shared" si="5"/>
        <v>7831</v>
      </c>
      <c r="O10" s="39">
        <v>1250</v>
      </c>
      <c r="P10" s="39">
        <v>6581</v>
      </c>
    </row>
    <row r="11" spans="1:16" ht="34.5" customHeight="1">
      <c r="A11" s="184" t="s">
        <v>552</v>
      </c>
      <c r="B11" s="423">
        <f>E11+H11+K11+N11</f>
        <v>152441</v>
      </c>
      <c r="C11" s="39">
        <f>F11+I11+L11+O11</f>
        <v>77475</v>
      </c>
      <c r="D11" s="39">
        <f>G11+J11+M11+P11</f>
        <v>74966</v>
      </c>
      <c r="E11" s="39">
        <f>SUM(F11:G11)</f>
        <v>69740</v>
      </c>
      <c r="F11" s="39">
        <v>38168</v>
      </c>
      <c r="G11" s="39">
        <v>31572</v>
      </c>
      <c r="H11" s="445">
        <f>SUM(I11:J11)</f>
        <v>67173</v>
      </c>
      <c r="I11" s="39">
        <v>33695</v>
      </c>
      <c r="J11" s="39">
        <v>33478</v>
      </c>
      <c r="K11" s="39">
        <f t="shared" si="4"/>
        <v>9546</v>
      </c>
      <c r="L11" s="39">
        <v>4470</v>
      </c>
      <c r="M11" s="39">
        <v>5076</v>
      </c>
      <c r="N11" s="39">
        <f>SUM(O11:P11)</f>
        <v>5982</v>
      </c>
      <c r="O11" s="39">
        <v>1142</v>
      </c>
      <c r="P11" s="39">
        <v>4840</v>
      </c>
    </row>
    <row r="12" spans="1:16" ht="34.5" customHeight="1">
      <c r="A12" s="184" t="s">
        <v>553</v>
      </c>
      <c r="B12" s="423">
        <f t="shared" si="1"/>
        <v>91979</v>
      </c>
      <c r="C12" s="39">
        <f t="shared" si="1"/>
        <v>47408</v>
      </c>
      <c r="D12" s="39">
        <f t="shared" si="1"/>
        <v>44571</v>
      </c>
      <c r="E12" s="39">
        <f t="shared" si="2"/>
        <v>41368</v>
      </c>
      <c r="F12" s="39">
        <v>22974</v>
      </c>
      <c r="G12" s="39">
        <v>18394</v>
      </c>
      <c r="H12" s="445">
        <f>SUM(I12:J12)</f>
        <v>39980</v>
      </c>
      <c r="I12" s="39">
        <v>20636</v>
      </c>
      <c r="J12" s="39">
        <v>19344</v>
      </c>
      <c r="K12" s="39">
        <f t="shared" si="4"/>
        <v>5605</v>
      </c>
      <c r="L12" s="39">
        <v>2923</v>
      </c>
      <c r="M12" s="39">
        <v>2682</v>
      </c>
      <c r="N12" s="39">
        <f t="shared" si="5"/>
        <v>5026</v>
      </c>
      <c r="O12" s="39">
        <v>875</v>
      </c>
      <c r="P12" s="39">
        <v>4151</v>
      </c>
    </row>
    <row r="13" spans="1:16" ht="34.5" customHeight="1">
      <c r="A13" s="184" t="s">
        <v>554</v>
      </c>
      <c r="B13" s="423">
        <f t="shared" si="1"/>
        <v>143886</v>
      </c>
      <c r="C13" s="39">
        <f t="shared" si="1"/>
        <v>72040</v>
      </c>
      <c r="D13" s="39">
        <f t="shared" si="1"/>
        <v>71846</v>
      </c>
      <c r="E13" s="39">
        <f t="shared" si="2"/>
        <v>66772</v>
      </c>
      <c r="F13" s="39">
        <v>35598</v>
      </c>
      <c r="G13" s="39">
        <v>31174</v>
      </c>
      <c r="H13" s="445">
        <f t="shared" si="3"/>
        <v>64022</v>
      </c>
      <c r="I13" s="39">
        <v>31741</v>
      </c>
      <c r="J13" s="39">
        <v>32281</v>
      </c>
      <c r="K13" s="39">
        <f t="shared" si="4"/>
        <v>8446</v>
      </c>
      <c r="L13" s="39">
        <v>3785</v>
      </c>
      <c r="M13" s="39">
        <v>4661</v>
      </c>
      <c r="N13" s="39">
        <f t="shared" si="5"/>
        <v>4646</v>
      </c>
      <c r="O13" s="39">
        <v>916</v>
      </c>
      <c r="P13" s="39">
        <v>3730</v>
      </c>
    </row>
    <row r="14" spans="1:16" ht="34.5" customHeight="1">
      <c r="A14" s="184" t="s">
        <v>555</v>
      </c>
      <c r="B14" s="423">
        <f t="shared" si="1"/>
        <v>82136</v>
      </c>
      <c r="C14" s="39">
        <f t="shared" si="1"/>
        <v>42600</v>
      </c>
      <c r="D14" s="39">
        <f t="shared" si="1"/>
        <v>39536</v>
      </c>
      <c r="E14" s="39">
        <f t="shared" si="2"/>
        <v>37394</v>
      </c>
      <c r="F14" s="39">
        <v>20513</v>
      </c>
      <c r="G14" s="39">
        <v>16881</v>
      </c>
      <c r="H14" s="445">
        <f t="shared" si="3"/>
        <v>36199</v>
      </c>
      <c r="I14" s="39">
        <v>18831</v>
      </c>
      <c r="J14" s="39">
        <v>17368</v>
      </c>
      <c r="K14" s="39">
        <f t="shared" si="4"/>
        <v>4756</v>
      </c>
      <c r="L14" s="39">
        <v>2486</v>
      </c>
      <c r="M14" s="39">
        <v>2270</v>
      </c>
      <c r="N14" s="39">
        <f t="shared" si="5"/>
        <v>3787</v>
      </c>
      <c r="O14" s="39">
        <v>770</v>
      </c>
      <c r="P14" s="39">
        <v>3017</v>
      </c>
    </row>
    <row r="15" spans="1:16" ht="34.5" customHeight="1">
      <c r="A15" s="184" t="s">
        <v>556</v>
      </c>
      <c r="B15" s="423">
        <f t="shared" si="1"/>
        <v>138355</v>
      </c>
      <c r="C15" s="39">
        <f t="shared" si="1"/>
        <v>69924</v>
      </c>
      <c r="D15" s="39">
        <f t="shared" si="1"/>
        <v>68431</v>
      </c>
      <c r="E15" s="39">
        <f t="shared" si="2"/>
        <v>63510</v>
      </c>
      <c r="F15" s="39">
        <v>34413</v>
      </c>
      <c r="G15" s="39">
        <v>29097</v>
      </c>
      <c r="H15" s="445">
        <f t="shared" si="3"/>
        <v>59403</v>
      </c>
      <c r="I15" s="39">
        <v>29792</v>
      </c>
      <c r="J15" s="39">
        <v>29611</v>
      </c>
      <c r="K15" s="39">
        <f t="shared" si="4"/>
        <v>9668</v>
      </c>
      <c r="L15" s="39">
        <v>4747</v>
      </c>
      <c r="M15" s="39">
        <v>4921</v>
      </c>
      <c r="N15" s="39">
        <f t="shared" si="5"/>
        <v>5774</v>
      </c>
      <c r="O15" s="39">
        <v>972</v>
      </c>
      <c r="P15" s="39">
        <v>4802</v>
      </c>
    </row>
    <row r="16" spans="1:16" ht="34.5" customHeight="1">
      <c r="A16" s="184" t="s">
        <v>557</v>
      </c>
      <c r="B16" s="423">
        <f t="shared" si="1"/>
        <v>114958</v>
      </c>
      <c r="C16" s="39">
        <f t="shared" si="1"/>
        <v>58348</v>
      </c>
      <c r="D16" s="39">
        <f t="shared" si="1"/>
        <v>56610</v>
      </c>
      <c r="E16" s="39">
        <f t="shared" si="2"/>
        <v>52013</v>
      </c>
      <c r="F16" s="39">
        <v>28372</v>
      </c>
      <c r="G16" s="39">
        <v>23641</v>
      </c>
      <c r="H16" s="445">
        <f t="shared" si="3"/>
        <v>50474</v>
      </c>
      <c r="I16" s="39">
        <v>25519</v>
      </c>
      <c r="J16" s="39">
        <v>24955</v>
      </c>
      <c r="K16" s="39">
        <f t="shared" si="4"/>
        <v>7368</v>
      </c>
      <c r="L16" s="39">
        <v>3541</v>
      </c>
      <c r="M16" s="39">
        <v>3827</v>
      </c>
      <c r="N16" s="39">
        <f t="shared" si="5"/>
        <v>5103</v>
      </c>
      <c r="O16" s="39">
        <v>916</v>
      </c>
      <c r="P16" s="39">
        <v>4187</v>
      </c>
    </row>
    <row r="17" spans="1:16" ht="34.5" customHeight="1">
      <c r="A17" s="184" t="s">
        <v>558</v>
      </c>
      <c r="B17" s="423">
        <f t="shared" si="1"/>
        <v>48652</v>
      </c>
      <c r="C17" s="39">
        <f t="shared" si="1"/>
        <v>26063</v>
      </c>
      <c r="D17" s="39">
        <f t="shared" si="1"/>
        <v>22589</v>
      </c>
      <c r="E17" s="39">
        <f t="shared" si="2"/>
        <v>20309</v>
      </c>
      <c r="F17" s="39">
        <v>11373</v>
      </c>
      <c r="G17" s="39">
        <v>8936</v>
      </c>
      <c r="H17" s="445">
        <f t="shared" si="3"/>
        <v>22891</v>
      </c>
      <c r="I17" s="39">
        <v>12537</v>
      </c>
      <c r="J17" s="39">
        <v>10354</v>
      </c>
      <c r="K17" s="39">
        <f>SUM(L17:M17)</f>
        <v>2440</v>
      </c>
      <c r="L17" s="39">
        <v>1461</v>
      </c>
      <c r="M17" s="39">
        <v>979</v>
      </c>
      <c r="N17" s="39">
        <f t="shared" si="5"/>
        <v>3012</v>
      </c>
      <c r="O17" s="39">
        <v>692</v>
      </c>
      <c r="P17" s="39">
        <v>2320</v>
      </c>
    </row>
    <row r="18" spans="1:16" ht="34.5" customHeight="1">
      <c r="A18" s="184" t="s">
        <v>559</v>
      </c>
      <c r="B18" s="423">
        <f t="shared" si="1"/>
        <v>61676</v>
      </c>
      <c r="C18" s="39">
        <f t="shared" si="1"/>
        <v>32468</v>
      </c>
      <c r="D18" s="39">
        <f t="shared" si="1"/>
        <v>29208</v>
      </c>
      <c r="E18" s="39">
        <f t="shared" si="2"/>
        <v>27544</v>
      </c>
      <c r="F18" s="39">
        <v>15198</v>
      </c>
      <c r="G18" s="39">
        <v>12346</v>
      </c>
      <c r="H18" s="445">
        <f t="shared" si="3"/>
        <v>27345</v>
      </c>
      <c r="I18" s="39">
        <v>14607</v>
      </c>
      <c r="J18" s="39">
        <v>12738</v>
      </c>
      <c r="K18" s="39">
        <f t="shared" si="4"/>
        <v>3567</v>
      </c>
      <c r="L18" s="39">
        <v>1948</v>
      </c>
      <c r="M18" s="39">
        <v>1619</v>
      </c>
      <c r="N18" s="39">
        <f t="shared" si="5"/>
        <v>3220</v>
      </c>
      <c r="O18" s="39">
        <v>715</v>
      </c>
      <c r="P18" s="39">
        <v>2505</v>
      </c>
    </row>
    <row r="19" spans="1:16" ht="34.5" customHeight="1" thickBot="1">
      <c r="A19" s="185" t="s">
        <v>560</v>
      </c>
      <c r="B19" s="488">
        <f t="shared" si="1"/>
        <v>10684</v>
      </c>
      <c r="C19" s="433">
        <f t="shared" si="1"/>
        <v>5962</v>
      </c>
      <c r="D19" s="433">
        <f t="shared" si="1"/>
        <v>4722</v>
      </c>
      <c r="E19" s="433">
        <f t="shared" si="2"/>
        <v>4533</v>
      </c>
      <c r="F19" s="489">
        <v>2677</v>
      </c>
      <c r="G19" s="433">
        <v>1856</v>
      </c>
      <c r="H19" s="433">
        <f>SUM(I19:J19)</f>
        <v>4465</v>
      </c>
      <c r="I19" s="433">
        <v>2580</v>
      </c>
      <c r="J19" s="433">
        <v>1885</v>
      </c>
      <c r="K19" s="433">
        <f t="shared" si="4"/>
        <v>976</v>
      </c>
      <c r="L19" s="433">
        <v>549</v>
      </c>
      <c r="M19" s="433">
        <v>427</v>
      </c>
      <c r="N19" s="433">
        <f t="shared" si="5"/>
        <v>710</v>
      </c>
      <c r="O19" s="489">
        <v>156</v>
      </c>
      <c r="P19" s="433">
        <v>554</v>
      </c>
    </row>
    <row r="20" spans="1:9" ht="15.75" customHeight="1">
      <c r="A20" s="118" t="s">
        <v>544</v>
      </c>
      <c r="H20" s="13" t="s">
        <v>23</v>
      </c>
      <c r="I20" s="7"/>
    </row>
  </sheetData>
  <mergeCells count="7">
    <mergeCell ref="A2:G2"/>
    <mergeCell ref="H2:P2"/>
    <mergeCell ref="H4:J4"/>
    <mergeCell ref="E4:G4"/>
    <mergeCell ref="B4:D4"/>
    <mergeCell ref="K4:M4"/>
    <mergeCell ref="N4:P4"/>
  </mergeCells>
  <printOptions horizontalCentered="1"/>
  <pageMargins left="1.1811023622047245" right="1.1811023622047245" top="1.5748031496062993" bottom="1.5748031496062993" header="0.5118110236220472" footer="0.9055118110236221"/>
  <pageSetup firstPageNumber="4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="120" zoomScaleNormal="120" workbookViewId="0" topLeftCell="A1">
      <selection activeCell="A2" sqref="A2:F2"/>
    </sheetView>
  </sheetViews>
  <sheetFormatPr defaultColWidth="9.00390625" defaultRowHeight="21.75" customHeight="1"/>
  <cols>
    <col min="1" max="1" width="19.125" style="15" customWidth="1"/>
    <col min="2" max="2" width="9.625" style="13" customWidth="1"/>
    <col min="3" max="3" width="12.625" style="13" customWidth="1"/>
    <col min="4" max="4" width="15.125" style="13" customWidth="1"/>
    <col min="5" max="6" width="9.125" style="13" customWidth="1"/>
    <col min="7" max="7" width="11.125" style="13" customWidth="1"/>
    <col min="8" max="12" width="10.625" style="13" customWidth="1"/>
    <col min="13" max="13" width="10.625" style="51" customWidth="1"/>
    <col min="14" max="16384" width="10.625" style="7" customWidth="1"/>
  </cols>
  <sheetData>
    <row r="1" spans="1:13" s="15" customFormat="1" ht="18" customHeight="1">
      <c r="A1" s="118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75" t="s">
        <v>142</v>
      </c>
    </row>
    <row r="2" spans="1:13" s="63" customFormat="1" ht="24.75" customHeight="1">
      <c r="A2" s="595" t="s">
        <v>97</v>
      </c>
      <c r="B2" s="603"/>
      <c r="C2" s="603"/>
      <c r="D2" s="603"/>
      <c r="E2" s="603"/>
      <c r="F2" s="603"/>
      <c r="G2" s="596" t="s">
        <v>561</v>
      </c>
      <c r="H2" s="596"/>
      <c r="I2" s="596"/>
      <c r="J2" s="596"/>
      <c r="K2" s="596"/>
      <c r="L2" s="596"/>
      <c r="M2" s="596"/>
    </row>
    <row r="3" spans="1:13" ht="15" customHeight="1" thickBot="1">
      <c r="A3" s="1"/>
      <c r="B3" s="4"/>
      <c r="C3" s="4"/>
      <c r="D3" s="4"/>
      <c r="E3" s="4"/>
      <c r="F3" s="55"/>
      <c r="G3" s="4"/>
      <c r="H3" s="4"/>
      <c r="I3" s="4"/>
      <c r="J3" s="4"/>
      <c r="K3" s="4"/>
      <c r="L3" s="4"/>
      <c r="M3" s="55"/>
    </row>
    <row r="4" spans="1:13" ht="24.75" customHeight="1">
      <c r="A4" s="610" t="s">
        <v>39</v>
      </c>
      <c r="B4" s="598" t="s">
        <v>251</v>
      </c>
      <c r="C4" s="585"/>
      <c r="D4" s="586"/>
      <c r="E4" s="158"/>
      <c r="F4" s="159" t="s">
        <v>146</v>
      </c>
      <c r="G4" s="160" t="s">
        <v>149</v>
      </c>
      <c r="H4" s="94" t="s">
        <v>89</v>
      </c>
      <c r="I4" s="8" t="s">
        <v>103</v>
      </c>
      <c r="J4" s="585" t="s">
        <v>252</v>
      </c>
      <c r="K4" s="585"/>
      <c r="L4" s="585"/>
      <c r="M4" s="585"/>
    </row>
    <row r="5" spans="1:13" ht="24.75" customHeight="1">
      <c r="A5" s="708"/>
      <c r="B5" s="104" t="s">
        <v>147</v>
      </c>
      <c r="C5" s="105" t="s">
        <v>90</v>
      </c>
      <c r="D5" s="105" t="s">
        <v>91</v>
      </c>
      <c r="E5" s="155" t="s">
        <v>148</v>
      </c>
      <c r="F5" s="156" t="s">
        <v>144</v>
      </c>
      <c r="G5" s="157" t="s">
        <v>127</v>
      </c>
      <c r="H5" s="597" t="s">
        <v>95</v>
      </c>
      <c r="I5" s="583"/>
      <c r="J5" s="584"/>
      <c r="K5" s="597" t="s">
        <v>96</v>
      </c>
      <c r="L5" s="583"/>
      <c r="M5" s="583"/>
    </row>
    <row r="6" spans="1:13" ht="34.5" customHeight="1" thickBot="1">
      <c r="A6" s="709"/>
      <c r="B6" s="61" t="s">
        <v>92</v>
      </c>
      <c r="C6" s="62" t="s">
        <v>93</v>
      </c>
      <c r="D6" s="62" t="s">
        <v>94</v>
      </c>
      <c r="E6" s="186" t="s">
        <v>250</v>
      </c>
      <c r="F6" s="89" t="s">
        <v>248</v>
      </c>
      <c r="G6" s="88" t="s">
        <v>249</v>
      </c>
      <c r="H6" s="88" t="s">
        <v>250</v>
      </c>
      <c r="I6" s="88" t="s">
        <v>248</v>
      </c>
      <c r="J6" s="88" t="s">
        <v>249</v>
      </c>
      <c r="K6" s="88" t="s">
        <v>250</v>
      </c>
      <c r="L6" s="88" t="s">
        <v>248</v>
      </c>
      <c r="M6" s="186" t="s">
        <v>249</v>
      </c>
    </row>
    <row r="7" spans="1:13" ht="21" customHeight="1">
      <c r="A7" s="133" t="s">
        <v>536</v>
      </c>
      <c r="B7" s="420">
        <v>11757</v>
      </c>
      <c r="C7" s="411">
        <v>6083</v>
      </c>
      <c r="D7" s="411">
        <v>5674</v>
      </c>
      <c r="E7" s="411">
        <v>41171</v>
      </c>
      <c r="F7" s="411">
        <v>20349</v>
      </c>
      <c r="G7" s="411">
        <v>20822</v>
      </c>
      <c r="H7" s="411">
        <v>21894</v>
      </c>
      <c r="I7" s="411">
        <v>11112</v>
      </c>
      <c r="J7" s="411">
        <v>10782</v>
      </c>
      <c r="K7" s="411">
        <v>19277</v>
      </c>
      <c r="L7" s="411">
        <v>9237</v>
      </c>
      <c r="M7" s="411">
        <v>10040</v>
      </c>
    </row>
    <row r="8" spans="1:13" ht="21" customHeight="1">
      <c r="A8" s="133" t="s">
        <v>537</v>
      </c>
      <c r="B8" s="423">
        <v>12561</v>
      </c>
      <c r="C8" s="39">
        <v>6564</v>
      </c>
      <c r="D8" s="39">
        <v>5997</v>
      </c>
      <c r="E8" s="39">
        <v>43530</v>
      </c>
      <c r="F8" s="39">
        <v>21356</v>
      </c>
      <c r="G8" s="39">
        <v>22174</v>
      </c>
      <c r="H8" s="39">
        <v>23283</v>
      </c>
      <c r="I8" s="39">
        <v>11752</v>
      </c>
      <c r="J8" s="39">
        <v>11531</v>
      </c>
      <c r="K8" s="39">
        <v>20247</v>
      </c>
      <c r="L8" s="39">
        <v>9604</v>
      </c>
      <c r="M8" s="39">
        <v>10643</v>
      </c>
    </row>
    <row r="9" spans="1:13" ht="21" customHeight="1">
      <c r="A9" s="133" t="s">
        <v>538</v>
      </c>
      <c r="B9" s="423">
        <v>13386</v>
      </c>
      <c r="C9" s="425">
        <v>7052</v>
      </c>
      <c r="D9" s="39">
        <v>6334</v>
      </c>
      <c r="E9" s="39">
        <v>45885</v>
      </c>
      <c r="F9" s="39">
        <v>22419</v>
      </c>
      <c r="G9" s="39">
        <v>23466</v>
      </c>
      <c r="H9" s="39">
        <v>24688</v>
      </c>
      <c r="I9" s="39">
        <v>12395</v>
      </c>
      <c r="J9" s="425">
        <v>12293</v>
      </c>
      <c r="K9" s="39">
        <v>21197</v>
      </c>
      <c r="L9" s="39">
        <v>10024</v>
      </c>
      <c r="M9" s="39">
        <v>11173</v>
      </c>
    </row>
    <row r="10" spans="1:13" ht="21" customHeight="1">
      <c r="A10" s="137" t="s">
        <v>539</v>
      </c>
      <c r="B10" s="423">
        <v>14279</v>
      </c>
      <c r="C10" s="425">
        <v>7560</v>
      </c>
      <c r="D10" s="39">
        <v>6719</v>
      </c>
      <c r="E10" s="39">
        <v>48357</v>
      </c>
      <c r="F10" s="39">
        <v>23554</v>
      </c>
      <c r="G10" s="39">
        <v>24803</v>
      </c>
      <c r="H10" s="39">
        <v>26133</v>
      </c>
      <c r="I10" s="39">
        <v>13081</v>
      </c>
      <c r="J10" s="425">
        <v>13052</v>
      </c>
      <c r="K10" s="39">
        <v>22224</v>
      </c>
      <c r="L10" s="39">
        <v>10473</v>
      </c>
      <c r="M10" s="39">
        <v>11751</v>
      </c>
    </row>
    <row r="11" spans="1:13" ht="21" customHeight="1">
      <c r="A11" s="137" t="s">
        <v>540</v>
      </c>
      <c r="B11" s="423">
        <v>15144</v>
      </c>
      <c r="C11" s="425">
        <v>8126</v>
      </c>
      <c r="D11" s="39">
        <v>7018</v>
      </c>
      <c r="E11" s="39">
        <v>51213</v>
      </c>
      <c r="F11" s="39">
        <v>24892</v>
      </c>
      <c r="G11" s="39">
        <v>26321</v>
      </c>
      <c r="H11" s="39">
        <v>27985</v>
      </c>
      <c r="I11" s="39">
        <v>14029</v>
      </c>
      <c r="J11" s="425">
        <v>13956</v>
      </c>
      <c r="K11" s="39">
        <v>23228</v>
      </c>
      <c r="L11" s="39">
        <v>10863</v>
      </c>
      <c r="M11" s="39">
        <v>12365</v>
      </c>
    </row>
    <row r="12" spans="1:13" ht="21" customHeight="1">
      <c r="A12" s="137" t="s">
        <v>541</v>
      </c>
      <c r="B12" s="423">
        <v>15902</v>
      </c>
      <c r="C12" s="425">
        <v>8567</v>
      </c>
      <c r="D12" s="39">
        <v>7335</v>
      </c>
      <c r="E12" s="39">
        <v>53436</v>
      </c>
      <c r="F12" s="39">
        <v>25873</v>
      </c>
      <c r="G12" s="39">
        <v>27563</v>
      </c>
      <c r="H12" s="39">
        <v>29168</v>
      </c>
      <c r="I12" s="39">
        <v>14547</v>
      </c>
      <c r="J12" s="425">
        <v>14621</v>
      </c>
      <c r="K12" s="39">
        <v>24268</v>
      </c>
      <c r="L12" s="39">
        <v>11326</v>
      </c>
      <c r="M12" s="39">
        <v>12942</v>
      </c>
    </row>
    <row r="13" spans="1:13" ht="21" customHeight="1">
      <c r="A13" s="101" t="s">
        <v>542</v>
      </c>
      <c r="B13" s="423">
        <v>16697</v>
      </c>
      <c r="C13" s="425">
        <v>8985</v>
      </c>
      <c r="D13" s="425">
        <v>7712</v>
      </c>
      <c r="E13" s="39">
        <v>55704</v>
      </c>
      <c r="F13" s="39">
        <v>26921</v>
      </c>
      <c r="G13" s="39">
        <v>28783</v>
      </c>
      <c r="H13" s="39">
        <v>30469</v>
      </c>
      <c r="I13" s="39">
        <v>15153</v>
      </c>
      <c r="J13" s="39">
        <v>15316</v>
      </c>
      <c r="K13" s="39">
        <v>25235</v>
      </c>
      <c r="L13" s="39">
        <v>11768</v>
      </c>
      <c r="M13" s="39">
        <v>13467</v>
      </c>
    </row>
    <row r="14" spans="1:13" ht="21" customHeight="1">
      <c r="A14" s="101" t="s">
        <v>40</v>
      </c>
      <c r="B14" s="423">
        <v>17452</v>
      </c>
      <c r="C14" s="425">
        <v>9421</v>
      </c>
      <c r="D14" s="425">
        <v>8031</v>
      </c>
      <c r="E14" s="39">
        <v>57632</v>
      </c>
      <c r="F14" s="39">
        <v>27787</v>
      </c>
      <c r="G14" s="39">
        <v>29845</v>
      </c>
      <c r="H14" s="39">
        <v>31534</v>
      </c>
      <c r="I14" s="39">
        <v>15618</v>
      </c>
      <c r="J14" s="39">
        <v>15916</v>
      </c>
      <c r="K14" s="39">
        <v>26098</v>
      </c>
      <c r="L14" s="39">
        <v>12169</v>
      </c>
      <c r="M14" s="39">
        <v>13929</v>
      </c>
    </row>
    <row r="15" spans="1:13" ht="21" customHeight="1">
      <c r="A15" s="101" t="s">
        <v>543</v>
      </c>
      <c r="B15" s="423">
        <v>18182</v>
      </c>
      <c r="C15" s="425">
        <v>9835</v>
      </c>
      <c r="D15" s="425">
        <v>8347</v>
      </c>
      <c r="E15" s="39">
        <v>59321</v>
      </c>
      <c r="F15" s="39">
        <v>28597</v>
      </c>
      <c r="G15" s="39">
        <v>30724</v>
      </c>
      <c r="H15" s="39">
        <v>32515</v>
      </c>
      <c r="I15" s="39">
        <v>16087</v>
      </c>
      <c r="J15" s="39">
        <v>16428</v>
      </c>
      <c r="K15" s="39">
        <v>26806</v>
      </c>
      <c r="L15" s="39">
        <v>12510</v>
      </c>
      <c r="M15" s="39">
        <v>14296</v>
      </c>
    </row>
    <row r="16" spans="1:13" ht="21" customHeight="1">
      <c r="A16" s="101" t="s">
        <v>525</v>
      </c>
      <c r="B16" s="423">
        <f>SUM(B17:B29)</f>
        <v>18770</v>
      </c>
      <c r="C16" s="425">
        <f>SUM(C17:C29)</f>
        <v>10233</v>
      </c>
      <c r="D16" s="425">
        <f>SUM(D17:D29)</f>
        <v>8537</v>
      </c>
      <c r="E16" s="39">
        <f>H16+K16</f>
        <v>61044</v>
      </c>
      <c r="F16" s="39">
        <f>I16+L16</f>
        <v>29410</v>
      </c>
      <c r="G16" s="39">
        <f>J16+M16</f>
        <v>31634</v>
      </c>
      <c r="H16" s="39">
        <f aca="true" t="shared" si="0" ref="H16:M16">SUM(H17:H29)</f>
        <v>33539</v>
      </c>
      <c r="I16" s="39">
        <f t="shared" si="0"/>
        <v>16574</v>
      </c>
      <c r="J16" s="39">
        <f t="shared" si="0"/>
        <v>16965</v>
      </c>
      <c r="K16" s="39">
        <f t="shared" si="0"/>
        <v>27505</v>
      </c>
      <c r="L16" s="39">
        <f t="shared" si="0"/>
        <v>12836</v>
      </c>
      <c r="M16" s="39">
        <f t="shared" si="0"/>
        <v>14669</v>
      </c>
    </row>
    <row r="17" spans="1:13" ht="21" customHeight="1">
      <c r="A17" s="90" t="s">
        <v>41</v>
      </c>
      <c r="B17" s="423">
        <f>SUM(C17:D17)</f>
        <v>1997</v>
      </c>
      <c r="C17" s="425">
        <v>1343</v>
      </c>
      <c r="D17" s="39">
        <v>654</v>
      </c>
      <c r="E17" s="39">
        <f aca="true" t="shared" si="1" ref="E17:G29">H17+K17</f>
        <v>6094</v>
      </c>
      <c r="F17" s="39">
        <f t="shared" si="1"/>
        <v>2754</v>
      </c>
      <c r="G17" s="39">
        <f t="shared" si="1"/>
        <v>3340</v>
      </c>
      <c r="H17" s="39">
        <f>SUM(I17:J17)</f>
        <v>4089</v>
      </c>
      <c r="I17" s="39">
        <v>1917</v>
      </c>
      <c r="J17" s="425">
        <v>2172</v>
      </c>
      <c r="K17" s="39">
        <f>SUM(L17:M17)</f>
        <v>2005</v>
      </c>
      <c r="L17" s="39">
        <v>837</v>
      </c>
      <c r="M17" s="39">
        <v>1168</v>
      </c>
    </row>
    <row r="18" spans="1:13" ht="21" customHeight="1">
      <c r="A18" s="90" t="s">
        <v>42</v>
      </c>
      <c r="B18" s="423">
        <f aca="true" t="shared" si="2" ref="B18:B29">SUM(C18:D18)</f>
        <v>2300</v>
      </c>
      <c r="C18" s="425">
        <v>1355</v>
      </c>
      <c r="D18" s="39">
        <v>945</v>
      </c>
      <c r="E18" s="39">
        <f t="shared" si="1"/>
        <v>7109</v>
      </c>
      <c r="F18" s="39">
        <f t="shared" si="1"/>
        <v>3146</v>
      </c>
      <c r="G18" s="39">
        <f t="shared" si="1"/>
        <v>3963</v>
      </c>
      <c r="H18" s="39">
        <f aca="true" t="shared" si="3" ref="H18:H29">SUM(I18:J18)</f>
        <v>4165</v>
      </c>
      <c r="I18" s="39">
        <v>1933</v>
      </c>
      <c r="J18" s="425">
        <v>2232</v>
      </c>
      <c r="K18" s="39">
        <f aca="true" t="shared" si="4" ref="K18:K29">SUM(L18:M18)</f>
        <v>2944</v>
      </c>
      <c r="L18" s="39">
        <v>1213</v>
      </c>
      <c r="M18" s="39">
        <v>1731</v>
      </c>
    </row>
    <row r="19" spans="1:13" ht="21" customHeight="1">
      <c r="A19" s="90" t="s">
        <v>43</v>
      </c>
      <c r="B19" s="423">
        <f t="shared" si="2"/>
        <v>1688</v>
      </c>
      <c r="C19" s="425">
        <v>958</v>
      </c>
      <c r="D19" s="39">
        <v>730</v>
      </c>
      <c r="E19" s="39">
        <f t="shared" si="1"/>
        <v>5534</v>
      </c>
      <c r="F19" s="39">
        <f t="shared" si="1"/>
        <v>2543</v>
      </c>
      <c r="G19" s="39">
        <f t="shared" si="1"/>
        <v>2991</v>
      </c>
      <c r="H19" s="39">
        <f t="shared" si="3"/>
        <v>3130</v>
      </c>
      <c r="I19" s="39">
        <v>1514</v>
      </c>
      <c r="J19" s="425">
        <v>1616</v>
      </c>
      <c r="K19" s="39">
        <f t="shared" si="4"/>
        <v>2404</v>
      </c>
      <c r="L19" s="39">
        <v>1029</v>
      </c>
      <c r="M19" s="39">
        <v>1375</v>
      </c>
    </row>
    <row r="20" spans="1:13" ht="21" customHeight="1">
      <c r="A20" s="90" t="s">
        <v>44</v>
      </c>
      <c r="B20" s="423">
        <f t="shared" si="2"/>
        <v>1891</v>
      </c>
      <c r="C20" s="425">
        <v>1227</v>
      </c>
      <c r="D20" s="39">
        <v>664</v>
      </c>
      <c r="E20" s="39">
        <f t="shared" si="1"/>
        <v>6225</v>
      </c>
      <c r="F20" s="39">
        <f t="shared" si="1"/>
        <v>2949</v>
      </c>
      <c r="G20" s="39">
        <f t="shared" si="1"/>
        <v>3276</v>
      </c>
      <c r="H20" s="39">
        <f t="shared" si="3"/>
        <v>4116</v>
      </c>
      <c r="I20" s="39">
        <v>2064</v>
      </c>
      <c r="J20" s="425">
        <v>2052</v>
      </c>
      <c r="K20" s="39">
        <f t="shared" si="4"/>
        <v>2109</v>
      </c>
      <c r="L20" s="39">
        <v>885</v>
      </c>
      <c r="M20" s="39">
        <v>1224</v>
      </c>
    </row>
    <row r="21" spans="1:13" ht="21" customHeight="1">
      <c r="A21" s="90" t="s">
        <v>45</v>
      </c>
      <c r="B21" s="423">
        <f>SUM(C21:D21)</f>
        <v>1040</v>
      </c>
      <c r="C21" s="425">
        <v>635</v>
      </c>
      <c r="D21" s="39">
        <v>405</v>
      </c>
      <c r="E21" s="39">
        <f>H21+K21</f>
        <v>3348</v>
      </c>
      <c r="F21" s="39">
        <f>I21+L21</f>
        <v>1577</v>
      </c>
      <c r="G21" s="39">
        <f>J21+M21</f>
        <v>1771</v>
      </c>
      <c r="H21" s="39">
        <f>SUM(I21:J21)</f>
        <v>2021</v>
      </c>
      <c r="I21" s="39">
        <v>986</v>
      </c>
      <c r="J21" s="425">
        <v>1035</v>
      </c>
      <c r="K21" s="39">
        <f>SUM(L21:M21)</f>
        <v>1327</v>
      </c>
      <c r="L21" s="39">
        <v>591</v>
      </c>
      <c r="M21" s="39">
        <v>736</v>
      </c>
    </row>
    <row r="22" spans="1:13" ht="21" customHeight="1">
      <c r="A22" s="90" t="s">
        <v>46</v>
      </c>
      <c r="B22" s="423">
        <f t="shared" si="2"/>
        <v>2006</v>
      </c>
      <c r="C22" s="425">
        <v>1022</v>
      </c>
      <c r="D22" s="39">
        <v>984</v>
      </c>
      <c r="E22" s="39">
        <f t="shared" si="1"/>
        <v>6956</v>
      </c>
      <c r="F22" s="39">
        <f t="shared" si="1"/>
        <v>3326</v>
      </c>
      <c r="G22" s="39">
        <f t="shared" si="1"/>
        <v>3630</v>
      </c>
      <c r="H22" s="39">
        <f t="shared" si="3"/>
        <v>3447</v>
      </c>
      <c r="I22" s="39">
        <v>1761</v>
      </c>
      <c r="J22" s="425">
        <v>1686</v>
      </c>
      <c r="K22" s="39">
        <f t="shared" si="4"/>
        <v>3509</v>
      </c>
      <c r="L22" s="39">
        <v>1565</v>
      </c>
      <c r="M22" s="39">
        <v>1944</v>
      </c>
    </row>
    <row r="23" spans="1:13" ht="21" customHeight="1">
      <c r="A23" s="90" t="s">
        <v>47</v>
      </c>
      <c r="B23" s="423">
        <f t="shared" si="2"/>
        <v>1178</v>
      </c>
      <c r="C23" s="425">
        <v>862</v>
      </c>
      <c r="D23" s="39">
        <v>316</v>
      </c>
      <c r="E23" s="39">
        <f t="shared" si="1"/>
        <v>3847</v>
      </c>
      <c r="F23" s="39">
        <f t="shared" si="1"/>
        <v>1895</v>
      </c>
      <c r="G23" s="39">
        <f t="shared" si="1"/>
        <v>1952</v>
      </c>
      <c r="H23" s="39">
        <f t="shared" si="3"/>
        <v>2754</v>
      </c>
      <c r="I23" s="39">
        <v>1383</v>
      </c>
      <c r="J23" s="425">
        <v>1371</v>
      </c>
      <c r="K23" s="39">
        <f t="shared" si="4"/>
        <v>1093</v>
      </c>
      <c r="L23" s="39">
        <v>512</v>
      </c>
      <c r="M23" s="39">
        <v>581</v>
      </c>
    </row>
    <row r="24" spans="1:13" ht="21" customHeight="1">
      <c r="A24" s="90" t="s">
        <v>48</v>
      </c>
      <c r="B24" s="423">
        <f t="shared" si="2"/>
        <v>874</v>
      </c>
      <c r="C24" s="425">
        <v>672</v>
      </c>
      <c r="D24" s="39">
        <v>202</v>
      </c>
      <c r="E24" s="39">
        <f t="shared" si="1"/>
        <v>3165</v>
      </c>
      <c r="F24" s="39">
        <f t="shared" si="1"/>
        <v>1638</v>
      </c>
      <c r="G24" s="39">
        <f t="shared" si="1"/>
        <v>1527</v>
      </c>
      <c r="H24" s="39">
        <f t="shared" si="3"/>
        <v>2466</v>
      </c>
      <c r="I24" s="39">
        <v>1293</v>
      </c>
      <c r="J24" s="425">
        <v>1173</v>
      </c>
      <c r="K24" s="39">
        <f t="shared" si="4"/>
        <v>699</v>
      </c>
      <c r="L24" s="39">
        <v>345</v>
      </c>
      <c r="M24" s="39">
        <v>354</v>
      </c>
    </row>
    <row r="25" spans="1:13" ht="21" customHeight="1">
      <c r="A25" s="90" t="s">
        <v>49</v>
      </c>
      <c r="B25" s="423">
        <f t="shared" si="2"/>
        <v>1805</v>
      </c>
      <c r="C25" s="425">
        <v>1340</v>
      </c>
      <c r="D25" s="39">
        <v>465</v>
      </c>
      <c r="E25" s="39">
        <f t="shared" si="1"/>
        <v>6074</v>
      </c>
      <c r="F25" s="39">
        <f t="shared" si="1"/>
        <v>2945</v>
      </c>
      <c r="G25" s="39">
        <f t="shared" si="1"/>
        <v>3129</v>
      </c>
      <c r="H25" s="39">
        <f t="shared" si="3"/>
        <v>4565</v>
      </c>
      <c r="I25" s="39">
        <v>2316</v>
      </c>
      <c r="J25" s="425">
        <v>2249</v>
      </c>
      <c r="K25" s="39">
        <f t="shared" si="4"/>
        <v>1509</v>
      </c>
      <c r="L25" s="39">
        <v>629</v>
      </c>
      <c r="M25" s="39">
        <v>880</v>
      </c>
    </row>
    <row r="26" spans="1:13" ht="21" customHeight="1">
      <c r="A26" s="90" t="s">
        <v>50</v>
      </c>
      <c r="B26" s="423">
        <f t="shared" si="2"/>
        <v>1041</v>
      </c>
      <c r="C26" s="425">
        <v>507</v>
      </c>
      <c r="D26" s="39">
        <v>534</v>
      </c>
      <c r="E26" s="39">
        <f t="shared" si="1"/>
        <v>3372</v>
      </c>
      <c r="F26" s="39">
        <f t="shared" si="1"/>
        <v>1592</v>
      </c>
      <c r="G26" s="39">
        <f t="shared" si="1"/>
        <v>1780</v>
      </c>
      <c r="H26" s="39">
        <f t="shared" si="3"/>
        <v>1631</v>
      </c>
      <c r="I26" s="39">
        <v>840</v>
      </c>
      <c r="J26" s="425">
        <v>791</v>
      </c>
      <c r="K26" s="39">
        <f t="shared" si="4"/>
        <v>1741</v>
      </c>
      <c r="L26" s="39">
        <v>752</v>
      </c>
      <c r="M26" s="39">
        <v>989</v>
      </c>
    </row>
    <row r="27" spans="1:13" ht="21" customHeight="1">
      <c r="A27" s="90" t="s">
        <v>51</v>
      </c>
      <c r="B27" s="423">
        <f t="shared" si="2"/>
        <v>164</v>
      </c>
      <c r="C27" s="425">
        <v>110</v>
      </c>
      <c r="D27" s="39">
        <v>54</v>
      </c>
      <c r="E27" s="39">
        <f t="shared" si="1"/>
        <v>594</v>
      </c>
      <c r="F27" s="39">
        <f t="shared" si="1"/>
        <v>276</v>
      </c>
      <c r="G27" s="39">
        <f t="shared" si="1"/>
        <v>318</v>
      </c>
      <c r="H27" s="39">
        <f t="shared" si="3"/>
        <v>404</v>
      </c>
      <c r="I27" s="39">
        <v>200</v>
      </c>
      <c r="J27" s="425">
        <v>204</v>
      </c>
      <c r="K27" s="39">
        <f t="shared" si="4"/>
        <v>190</v>
      </c>
      <c r="L27" s="39">
        <v>76</v>
      </c>
      <c r="M27" s="39">
        <v>114</v>
      </c>
    </row>
    <row r="28" spans="1:13" ht="21" customHeight="1">
      <c r="A28" s="90" t="s">
        <v>52</v>
      </c>
      <c r="B28" s="423">
        <f t="shared" si="2"/>
        <v>341</v>
      </c>
      <c r="C28" s="425">
        <v>175</v>
      </c>
      <c r="D28" s="39">
        <v>166</v>
      </c>
      <c r="E28" s="39">
        <f t="shared" si="1"/>
        <v>1175</v>
      </c>
      <c r="F28" s="39">
        <f t="shared" si="1"/>
        <v>572</v>
      </c>
      <c r="G28" s="39">
        <f t="shared" si="1"/>
        <v>603</v>
      </c>
      <c r="H28" s="39">
        <f t="shared" si="3"/>
        <v>592</v>
      </c>
      <c r="I28" s="39">
        <v>306</v>
      </c>
      <c r="J28" s="425">
        <v>286</v>
      </c>
      <c r="K28" s="39">
        <f t="shared" si="4"/>
        <v>583</v>
      </c>
      <c r="L28" s="39">
        <v>266</v>
      </c>
      <c r="M28" s="39">
        <v>317</v>
      </c>
    </row>
    <row r="29" spans="1:13" ht="21" customHeight="1" thickBot="1">
      <c r="A29" s="91" t="s">
        <v>53</v>
      </c>
      <c r="B29" s="488">
        <f t="shared" si="2"/>
        <v>2445</v>
      </c>
      <c r="C29" s="490">
        <v>27</v>
      </c>
      <c r="D29" s="433">
        <v>2418</v>
      </c>
      <c r="E29" s="433">
        <f t="shared" si="1"/>
        <v>7551</v>
      </c>
      <c r="F29" s="433">
        <f t="shared" si="1"/>
        <v>4197</v>
      </c>
      <c r="G29" s="433">
        <f t="shared" si="1"/>
        <v>3354</v>
      </c>
      <c r="H29" s="433">
        <f t="shared" si="3"/>
        <v>159</v>
      </c>
      <c r="I29" s="433">
        <v>61</v>
      </c>
      <c r="J29" s="490">
        <v>98</v>
      </c>
      <c r="K29" s="433">
        <f t="shared" si="4"/>
        <v>7392</v>
      </c>
      <c r="L29" s="433">
        <v>4136</v>
      </c>
      <c r="M29" s="490">
        <v>3256</v>
      </c>
    </row>
    <row r="30" spans="1:7" ht="15.75" customHeight="1">
      <c r="A30" s="118" t="s">
        <v>54</v>
      </c>
      <c r="G30" s="13" t="s">
        <v>55</v>
      </c>
    </row>
    <row r="32" ht="21.75" customHeight="1">
      <c r="A32" s="139"/>
    </row>
    <row r="43" ht="21.75" customHeight="1">
      <c r="A43" s="139"/>
    </row>
  </sheetData>
  <mergeCells count="7">
    <mergeCell ref="J4:M4"/>
    <mergeCell ref="A2:F2"/>
    <mergeCell ref="A4:A6"/>
    <mergeCell ref="G2:M2"/>
    <mergeCell ref="B4:D4"/>
    <mergeCell ref="H5:J5"/>
    <mergeCell ref="K5:M5"/>
  </mergeCells>
  <printOptions horizontalCentered="1"/>
  <pageMargins left="1.1811023622047245" right="1.1811023622047245" top="1.5748031496062993" bottom="1.5748031496062993" header="0.5118110236220472" footer="0.9055118110236221"/>
  <pageSetup firstPageNumber="5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="120" zoomScaleNormal="120" workbookViewId="0" topLeftCell="A1">
      <selection activeCell="I13" sqref="I13"/>
    </sheetView>
  </sheetViews>
  <sheetFormatPr defaultColWidth="9.00390625" defaultRowHeight="21.75" customHeight="1"/>
  <cols>
    <col min="1" max="1" width="14.125" style="15" customWidth="1"/>
    <col min="2" max="2" width="6.625" style="71" customWidth="1"/>
    <col min="3" max="4" width="5.625" style="13" customWidth="1"/>
    <col min="5" max="9" width="6.125" style="13" customWidth="1"/>
    <col min="10" max="11" width="6.125" style="142" customWidth="1"/>
    <col min="12" max="19" width="6.625" style="142" customWidth="1"/>
    <col min="20" max="20" width="6.625" style="143" customWidth="1"/>
    <col min="21" max="21" width="6.625" style="7" customWidth="1"/>
    <col min="22" max="22" width="8.625" style="7" customWidth="1"/>
    <col min="23" max="16384" width="10.625" style="7" customWidth="1"/>
  </cols>
  <sheetData>
    <row r="1" spans="1:22" s="15" customFormat="1" ht="18" customHeight="1">
      <c r="A1" s="118" t="s">
        <v>131</v>
      </c>
      <c r="B1" s="7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V1" s="75" t="s">
        <v>142</v>
      </c>
    </row>
    <row r="2" spans="1:22" s="19" customFormat="1" ht="24.75" customHeight="1">
      <c r="A2" s="595" t="s">
        <v>245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 t="s">
        <v>56</v>
      </c>
      <c r="M2" s="596"/>
      <c r="N2" s="596"/>
      <c r="O2" s="596"/>
      <c r="P2" s="596"/>
      <c r="Q2" s="596"/>
      <c r="R2" s="596"/>
      <c r="S2" s="596"/>
      <c r="T2" s="596"/>
      <c r="U2" s="596"/>
      <c r="V2" s="596"/>
    </row>
    <row r="3" spans="1:22" ht="18" customHeight="1" thickBot="1">
      <c r="A3" s="1"/>
      <c r="B3" s="69"/>
      <c r="C3" s="4"/>
      <c r="D3" s="4"/>
      <c r="E3" s="4"/>
      <c r="F3" s="4"/>
      <c r="G3" s="4"/>
      <c r="H3" s="4"/>
      <c r="I3" s="4"/>
      <c r="K3" s="126" t="s">
        <v>132</v>
      </c>
      <c r="L3" s="4"/>
      <c r="M3" s="4"/>
      <c r="N3" s="4"/>
      <c r="O3" s="4"/>
      <c r="P3" s="4"/>
      <c r="Q3" s="4"/>
      <c r="R3" s="4"/>
      <c r="S3" s="4"/>
      <c r="V3" s="55" t="s">
        <v>257</v>
      </c>
    </row>
    <row r="4" spans="1:22" ht="21.75" customHeight="1">
      <c r="A4" s="138" t="s">
        <v>234</v>
      </c>
      <c r="B4" s="84" t="s">
        <v>121</v>
      </c>
      <c r="C4" s="106" t="s">
        <v>210</v>
      </c>
      <c r="D4" s="66" t="s">
        <v>211</v>
      </c>
      <c r="E4" s="67" t="s">
        <v>212</v>
      </c>
      <c r="F4" s="67" t="s">
        <v>213</v>
      </c>
      <c r="G4" s="67" t="s">
        <v>214</v>
      </c>
      <c r="H4" s="67" t="s">
        <v>215</v>
      </c>
      <c r="I4" s="67" t="s">
        <v>216</v>
      </c>
      <c r="J4" s="140" t="s">
        <v>217</v>
      </c>
      <c r="K4" s="140" t="s">
        <v>218</v>
      </c>
      <c r="L4" s="66" t="s">
        <v>219</v>
      </c>
      <c r="M4" s="66" t="s">
        <v>220</v>
      </c>
      <c r="N4" s="66" t="s">
        <v>221</v>
      </c>
      <c r="O4" s="66" t="s">
        <v>222</v>
      </c>
      <c r="P4" s="66" t="s">
        <v>223</v>
      </c>
      <c r="Q4" s="66" t="s">
        <v>224</v>
      </c>
      <c r="R4" s="66" t="s">
        <v>225</v>
      </c>
      <c r="S4" s="66" t="s">
        <v>226</v>
      </c>
      <c r="T4" s="66" t="s">
        <v>243</v>
      </c>
      <c r="U4" s="66" t="s">
        <v>244</v>
      </c>
      <c r="V4" s="140" t="s">
        <v>227</v>
      </c>
    </row>
    <row r="5" spans="1:22" ht="31.5" customHeight="1" thickBot="1">
      <c r="A5" s="60" t="s">
        <v>145</v>
      </c>
      <c r="B5" s="64" t="s">
        <v>228</v>
      </c>
      <c r="C5" s="31" t="s">
        <v>233</v>
      </c>
      <c r="D5" s="31" t="s">
        <v>229</v>
      </c>
      <c r="E5" s="70" t="s">
        <v>104</v>
      </c>
      <c r="F5" s="70" t="s">
        <v>105</v>
      </c>
      <c r="G5" s="70" t="s">
        <v>106</v>
      </c>
      <c r="H5" s="70" t="s">
        <v>107</v>
      </c>
      <c r="I5" s="70" t="s">
        <v>108</v>
      </c>
      <c r="J5" s="141" t="s">
        <v>109</v>
      </c>
      <c r="K5" s="141" t="s">
        <v>110</v>
      </c>
      <c r="L5" s="70" t="s">
        <v>111</v>
      </c>
      <c r="M5" s="70" t="s">
        <v>112</v>
      </c>
      <c r="N5" s="70" t="s">
        <v>113</v>
      </c>
      <c r="O5" s="70" t="s">
        <v>114</v>
      </c>
      <c r="P5" s="70" t="s">
        <v>115</v>
      </c>
      <c r="Q5" s="70" t="s">
        <v>116</v>
      </c>
      <c r="R5" s="70" t="s">
        <v>117</v>
      </c>
      <c r="S5" s="70" t="s">
        <v>118</v>
      </c>
      <c r="T5" s="70" t="s">
        <v>230</v>
      </c>
      <c r="U5" s="70" t="s">
        <v>231</v>
      </c>
      <c r="V5" s="141" t="s">
        <v>232</v>
      </c>
    </row>
    <row r="6" spans="1:22" ht="1.5" customHeight="1">
      <c r="A6" s="33"/>
      <c r="B6" s="65"/>
      <c r="C6" s="491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3"/>
      <c r="V6" s="493"/>
    </row>
    <row r="7" spans="1:22" ht="18.75" customHeight="1">
      <c r="A7" s="710" t="s">
        <v>235</v>
      </c>
      <c r="B7" s="107" t="s">
        <v>101</v>
      </c>
      <c r="C7" s="56">
        <v>41171</v>
      </c>
      <c r="D7" s="445">
        <v>3618</v>
      </c>
      <c r="E7" s="445">
        <v>5116</v>
      </c>
      <c r="F7" s="445">
        <v>4840</v>
      </c>
      <c r="G7" s="445">
        <v>4139</v>
      </c>
      <c r="H7" s="445">
        <v>3877</v>
      </c>
      <c r="I7" s="445">
        <v>3485</v>
      </c>
      <c r="J7" s="445">
        <v>3576</v>
      </c>
      <c r="K7" s="445">
        <v>3564</v>
      </c>
      <c r="L7" s="445">
        <v>3246</v>
      </c>
      <c r="M7" s="445">
        <v>2333</v>
      </c>
      <c r="N7" s="445">
        <v>1329</v>
      </c>
      <c r="O7" s="445">
        <v>696</v>
      </c>
      <c r="P7" s="445">
        <v>530</v>
      </c>
      <c r="Q7" s="445">
        <v>392</v>
      </c>
      <c r="R7" s="445">
        <v>240</v>
      </c>
      <c r="S7" s="445">
        <v>124</v>
      </c>
      <c r="T7" s="445">
        <v>47</v>
      </c>
      <c r="U7" s="39">
        <v>18</v>
      </c>
      <c r="V7" s="39">
        <v>1</v>
      </c>
    </row>
    <row r="8" spans="1:22" ht="18.75" customHeight="1">
      <c r="A8" s="594"/>
      <c r="B8" s="107" t="s">
        <v>120</v>
      </c>
      <c r="C8" s="56">
        <v>20349</v>
      </c>
      <c r="D8" s="445">
        <v>1861</v>
      </c>
      <c r="E8" s="445">
        <v>2662</v>
      </c>
      <c r="F8" s="445">
        <v>2526</v>
      </c>
      <c r="G8" s="445">
        <v>2110</v>
      </c>
      <c r="H8" s="445">
        <v>1898</v>
      </c>
      <c r="I8" s="445">
        <v>1574</v>
      </c>
      <c r="J8" s="445">
        <v>1576</v>
      </c>
      <c r="K8" s="445">
        <v>1628</v>
      </c>
      <c r="L8" s="445">
        <v>1614</v>
      </c>
      <c r="M8" s="445">
        <v>1229</v>
      </c>
      <c r="N8" s="445">
        <v>671</v>
      </c>
      <c r="O8" s="445">
        <v>370</v>
      </c>
      <c r="P8" s="445">
        <v>273</v>
      </c>
      <c r="Q8" s="445">
        <v>178</v>
      </c>
      <c r="R8" s="445">
        <v>110</v>
      </c>
      <c r="S8" s="445">
        <v>48</v>
      </c>
      <c r="T8" s="445">
        <v>15</v>
      </c>
      <c r="U8" s="39">
        <v>6</v>
      </c>
      <c r="V8" s="424" t="s">
        <v>60</v>
      </c>
    </row>
    <row r="9" spans="1:22" ht="18.75" customHeight="1">
      <c r="A9" s="594"/>
      <c r="B9" s="107" t="s">
        <v>102</v>
      </c>
      <c r="C9" s="56">
        <v>20822</v>
      </c>
      <c r="D9" s="445">
        <v>1757</v>
      </c>
      <c r="E9" s="445">
        <v>2454</v>
      </c>
      <c r="F9" s="445">
        <v>2314</v>
      </c>
      <c r="G9" s="445">
        <v>2029</v>
      </c>
      <c r="H9" s="445">
        <v>1979</v>
      </c>
      <c r="I9" s="445">
        <v>1911</v>
      </c>
      <c r="J9" s="445">
        <v>2000</v>
      </c>
      <c r="K9" s="445">
        <v>1936</v>
      </c>
      <c r="L9" s="445">
        <v>1632</v>
      </c>
      <c r="M9" s="445">
        <v>1104</v>
      </c>
      <c r="N9" s="445">
        <v>658</v>
      </c>
      <c r="O9" s="445">
        <v>326</v>
      </c>
      <c r="P9" s="445">
        <v>257</v>
      </c>
      <c r="Q9" s="445">
        <v>214</v>
      </c>
      <c r="R9" s="445">
        <v>130</v>
      </c>
      <c r="S9" s="445">
        <v>76</v>
      </c>
      <c r="T9" s="445">
        <v>32</v>
      </c>
      <c r="U9" s="39">
        <v>12</v>
      </c>
      <c r="V9" s="39">
        <v>1</v>
      </c>
    </row>
    <row r="10" spans="1:22" ht="18.75" customHeight="1">
      <c r="A10" s="556" t="s">
        <v>236</v>
      </c>
      <c r="B10" s="107" t="s">
        <v>101</v>
      </c>
      <c r="C10" s="56">
        <v>43530</v>
      </c>
      <c r="D10" s="445">
        <v>3655</v>
      </c>
      <c r="E10" s="445">
        <v>5208</v>
      </c>
      <c r="F10" s="445">
        <v>5133</v>
      </c>
      <c r="G10" s="445">
        <v>4323</v>
      </c>
      <c r="H10" s="445">
        <v>4205</v>
      </c>
      <c r="I10" s="445">
        <v>3674</v>
      </c>
      <c r="J10" s="445">
        <v>3681</v>
      </c>
      <c r="K10" s="445">
        <v>3739</v>
      </c>
      <c r="L10" s="445">
        <v>3514</v>
      </c>
      <c r="M10" s="445">
        <v>2612</v>
      </c>
      <c r="N10" s="445">
        <v>1530</v>
      </c>
      <c r="O10" s="445">
        <v>805</v>
      </c>
      <c r="P10" s="445">
        <v>565</v>
      </c>
      <c r="Q10" s="445">
        <v>428</v>
      </c>
      <c r="R10" s="445">
        <v>241</v>
      </c>
      <c r="S10" s="445">
        <v>138</v>
      </c>
      <c r="T10" s="445">
        <v>53</v>
      </c>
      <c r="U10" s="39">
        <v>25</v>
      </c>
      <c r="V10" s="39">
        <v>1</v>
      </c>
    </row>
    <row r="11" spans="1:22" ht="18.75" customHeight="1">
      <c r="A11" s="557"/>
      <c r="B11" s="107" t="s">
        <v>120</v>
      </c>
      <c r="C11" s="56">
        <v>21356</v>
      </c>
      <c r="D11" s="445">
        <v>1893</v>
      </c>
      <c r="E11" s="445">
        <v>2697</v>
      </c>
      <c r="F11" s="445">
        <v>2671</v>
      </c>
      <c r="G11" s="445">
        <v>2179</v>
      </c>
      <c r="H11" s="445">
        <v>2038</v>
      </c>
      <c r="I11" s="445">
        <v>1721</v>
      </c>
      <c r="J11" s="445">
        <v>1613</v>
      </c>
      <c r="K11" s="445">
        <v>1641</v>
      </c>
      <c r="L11" s="445">
        <v>1730</v>
      </c>
      <c r="M11" s="445">
        <v>1347</v>
      </c>
      <c r="N11" s="445">
        <v>764</v>
      </c>
      <c r="O11" s="445">
        <v>401</v>
      </c>
      <c r="P11" s="445">
        <v>278</v>
      </c>
      <c r="Q11" s="445">
        <v>200</v>
      </c>
      <c r="R11" s="445">
        <v>108</v>
      </c>
      <c r="S11" s="445">
        <v>52</v>
      </c>
      <c r="T11" s="452">
        <v>14</v>
      </c>
      <c r="U11" s="39">
        <v>9</v>
      </c>
      <c r="V11" s="424" t="s">
        <v>60</v>
      </c>
    </row>
    <row r="12" spans="1:22" ht="18.75" customHeight="1">
      <c r="A12" s="557"/>
      <c r="B12" s="107" t="s">
        <v>102</v>
      </c>
      <c r="C12" s="56">
        <v>22174</v>
      </c>
      <c r="D12" s="445">
        <v>1762</v>
      </c>
      <c r="E12" s="445">
        <v>2511</v>
      </c>
      <c r="F12" s="445">
        <v>2462</v>
      </c>
      <c r="G12" s="445">
        <v>2144</v>
      </c>
      <c r="H12" s="445">
        <v>2167</v>
      </c>
      <c r="I12" s="445">
        <v>1953</v>
      </c>
      <c r="J12" s="445">
        <v>2068</v>
      </c>
      <c r="K12" s="445">
        <v>2098</v>
      </c>
      <c r="L12" s="445">
        <v>1784</v>
      </c>
      <c r="M12" s="445">
        <v>1265</v>
      </c>
      <c r="N12" s="445">
        <v>766</v>
      </c>
      <c r="O12" s="445">
        <v>404</v>
      </c>
      <c r="P12" s="445">
        <v>287</v>
      </c>
      <c r="Q12" s="445">
        <v>228</v>
      </c>
      <c r="R12" s="445">
        <v>133</v>
      </c>
      <c r="S12" s="445">
        <v>86</v>
      </c>
      <c r="T12" s="452">
        <v>39</v>
      </c>
      <c r="U12" s="39">
        <v>16</v>
      </c>
      <c r="V12" s="39">
        <v>1</v>
      </c>
    </row>
    <row r="13" spans="1:22" ht="18.75" customHeight="1">
      <c r="A13" s="556" t="s">
        <v>237</v>
      </c>
      <c r="B13" s="107" t="s">
        <v>101</v>
      </c>
      <c r="C13" s="56">
        <v>45885</v>
      </c>
      <c r="D13" s="445">
        <v>3761</v>
      </c>
      <c r="E13" s="445">
        <v>5228</v>
      </c>
      <c r="F13" s="445">
        <v>5428</v>
      </c>
      <c r="G13" s="445">
        <v>4501</v>
      </c>
      <c r="H13" s="445">
        <v>4413</v>
      </c>
      <c r="I13" s="445">
        <v>3984</v>
      </c>
      <c r="J13" s="445">
        <v>3865</v>
      </c>
      <c r="K13" s="445">
        <v>3850</v>
      </c>
      <c r="L13" s="445">
        <v>3740</v>
      </c>
      <c r="M13" s="445">
        <v>2874</v>
      </c>
      <c r="N13" s="445">
        <v>1764</v>
      </c>
      <c r="O13" s="445">
        <v>941</v>
      </c>
      <c r="P13" s="445">
        <v>595</v>
      </c>
      <c r="Q13" s="445">
        <v>449</v>
      </c>
      <c r="R13" s="445">
        <v>261</v>
      </c>
      <c r="S13" s="445">
        <v>159</v>
      </c>
      <c r="T13" s="445">
        <v>46</v>
      </c>
      <c r="U13" s="39">
        <v>20</v>
      </c>
      <c r="V13" s="39">
        <v>6</v>
      </c>
    </row>
    <row r="14" spans="1:22" ht="18.75" customHeight="1">
      <c r="A14" s="557"/>
      <c r="B14" s="107" t="s">
        <v>120</v>
      </c>
      <c r="C14" s="56">
        <v>22419</v>
      </c>
      <c r="D14" s="445">
        <v>1983</v>
      </c>
      <c r="E14" s="445">
        <v>2689</v>
      </c>
      <c r="F14" s="445">
        <v>2806</v>
      </c>
      <c r="G14" s="445">
        <v>2286</v>
      </c>
      <c r="H14" s="445">
        <v>2157</v>
      </c>
      <c r="I14" s="445">
        <v>1844</v>
      </c>
      <c r="J14" s="445">
        <v>1698</v>
      </c>
      <c r="K14" s="445">
        <v>1725</v>
      </c>
      <c r="L14" s="445">
        <v>1762</v>
      </c>
      <c r="M14" s="445">
        <v>1474</v>
      </c>
      <c r="N14" s="445">
        <v>872</v>
      </c>
      <c r="O14" s="445">
        <v>438</v>
      </c>
      <c r="P14" s="445">
        <v>278</v>
      </c>
      <c r="Q14" s="445">
        <v>209</v>
      </c>
      <c r="R14" s="445">
        <v>119</v>
      </c>
      <c r="S14" s="445">
        <v>57</v>
      </c>
      <c r="T14" s="452">
        <v>15</v>
      </c>
      <c r="U14" s="39">
        <v>5</v>
      </c>
      <c r="V14" s="39">
        <v>2</v>
      </c>
    </row>
    <row r="15" spans="1:22" ht="18.75" customHeight="1">
      <c r="A15" s="557"/>
      <c r="B15" s="107" t="s">
        <v>102</v>
      </c>
      <c r="C15" s="56">
        <v>23466</v>
      </c>
      <c r="D15" s="445">
        <v>1778</v>
      </c>
      <c r="E15" s="445">
        <v>2539</v>
      </c>
      <c r="F15" s="445">
        <v>2622</v>
      </c>
      <c r="G15" s="445">
        <v>2215</v>
      </c>
      <c r="H15" s="445">
        <v>2256</v>
      </c>
      <c r="I15" s="445">
        <v>2140</v>
      </c>
      <c r="J15" s="445">
        <v>2167</v>
      </c>
      <c r="K15" s="445">
        <v>2125</v>
      </c>
      <c r="L15" s="445">
        <v>1978</v>
      </c>
      <c r="M15" s="445">
        <v>1400</v>
      </c>
      <c r="N15" s="445">
        <v>892</v>
      </c>
      <c r="O15" s="445">
        <v>503</v>
      </c>
      <c r="P15" s="445">
        <v>317</v>
      </c>
      <c r="Q15" s="445">
        <v>240</v>
      </c>
      <c r="R15" s="452">
        <v>142</v>
      </c>
      <c r="S15" s="452">
        <v>102</v>
      </c>
      <c r="T15" s="452">
        <v>31</v>
      </c>
      <c r="U15" s="39">
        <v>15</v>
      </c>
      <c r="V15" s="39">
        <v>4</v>
      </c>
    </row>
    <row r="16" spans="1:22" ht="18.75" customHeight="1">
      <c r="A16" s="556" t="s">
        <v>238</v>
      </c>
      <c r="B16" s="107" t="s">
        <v>101</v>
      </c>
      <c r="C16" s="53">
        <v>48357</v>
      </c>
      <c r="D16" s="39">
        <v>3855</v>
      </c>
      <c r="E16" s="39">
        <v>5406</v>
      </c>
      <c r="F16" s="39">
        <v>5730</v>
      </c>
      <c r="G16" s="39">
        <v>4793</v>
      </c>
      <c r="H16" s="39">
        <v>4503</v>
      </c>
      <c r="I16" s="39">
        <v>4236</v>
      </c>
      <c r="J16" s="39">
        <v>4049</v>
      </c>
      <c r="K16" s="39">
        <v>3989</v>
      </c>
      <c r="L16" s="39">
        <v>3932</v>
      </c>
      <c r="M16" s="39">
        <v>3037</v>
      </c>
      <c r="N16" s="39">
        <v>2054</v>
      </c>
      <c r="O16" s="39">
        <v>1143</v>
      </c>
      <c r="P16" s="39">
        <v>612</v>
      </c>
      <c r="Q16" s="39">
        <v>470</v>
      </c>
      <c r="R16" s="39">
        <v>303</v>
      </c>
      <c r="S16" s="39">
        <v>166</v>
      </c>
      <c r="T16" s="39">
        <v>59</v>
      </c>
      <c r="U16" s="39">
        <v>14</v>
      </c>
      <c r="V16" s="39">
        <v>6</v>
      </c>
    </row>
    <row r="17" spans="1:22" ht="18.75" customHeight="1">
      <c r="A17" s="557"/>
      <c r="B17" s="107" t="s">
        <v>120</v>
      </c>
      <c r="C17" s="53">
        <v>23554</v>
      </c>
      <c r="D17" s="39">
        <v>2041</v>
      </c>
      <c r="E17" s="39">
        <v>2789</v>
      </c>
      <c r="F17" s="39">
        <v>2929</v>
      </c>
      <c r="G17" s="39">
        <v>2458</v>
      </c>
      <c r="H17" s="39">
        <v>2213</v>
      </c>
      <c r="I17" s="39">
        <v>1971</v>
      </c>
      <c r="J17" s="39">
        <v>1791</v>
      </c>
      <c r="K17" s="39">
        <v>1796</v>
      </c>
      <c r="L17" s="39">
        <v>1817</v>
      </c>
      <c r="M17" s="39">
        <v>1533</v>
      </c>
      <c r="N17" s="39">
        <v>997</v>
      </c>
      <c r="O17" s="39">
        <v>513</v>
      </c>
      <c r="P17" s="39">
        <v>285</v>
      </c>
      <c r="Q17" s="39">
        <v>218</v>
      </c>
      <c r="R17" s="39">
        <v>119</v>
      </c>
      <c r="S17" s="39">
        <v>58</v>
      </c>
      <c r="T17" s="39">
        <v>20</v>
      </c>
      <c r="U17" s="39">
        <v>4</v>
      </c>
      <c r="V17" s="39">
        <v>2</v>
      </c>
    </row>
    <row r="18" spans="1:22" ht="18.75" customHeight="1">
      <c r="A18" s="557"/>
      <c r="B18" s="107" t="s">
        <v>102</v>
      </c>
      <c r="C18" s="53">
        <v>24803</v>
      </c>
      <c r="D18" s="39">
        <v>1814</v>
      </c>
      <c r="E18" s="39">
        <v>2617</v>
      </c>
      <c r="F18" s="39">
        <v>2801</v>
      </c>
      <c r="G18" s="39">
        <v>2335</v>
      </c>
      <c r="H18" s="39">
        <v>2290</v>
      </c>
      <c r="I18" s="39">
        <v>2265</v>
      </c>
      <c r="J18" s="39">
        <v>2258</v>
      </c>
      <c r="K18" s="39">
        <v>2193</v>
      </c>
      <c r="L18" s="39">
        <v>2115</v>
      </c>
      <c r="M18" s="39">
        <v>1504</v>
      </c>
      <c r="N18" s="39">
        <v>1057</v>
      </c>
      <c r="O18" s="39">
        <v>630</v>
      </c>
      <c r="P18" s="39">
        <v>327</v>
      </c>
      <c r="Q18" s="39">
        <v>252</v>
      </c>
      <c r="R18" s="39">
        <v>184</v>
      </c>
      <c r="S18" s="39">
        <v>108</v>
      </c>
      <c r="T18" s="39">
        <v>39</v>
      </c>
      <c r="U18" s="39">
        <v>10</v>
      </c>
      <c r="V18" s="39">
        <v>4</v>
      </c>
    </row>
    <row r="19" spans="1:22" ht="18.75" customHeight="1">
      <c r="A19" s="556" t="s">
        <v>239</v>
      </c>
      <c r="B19" s="111" t="s">
        <v>101</v>
      </c>
      <c r="C19" s="56">
        <v>51213</v>
      </c>
      <c r="D19" s="445">
        <v>3959</v>
      </c>
      <c r="E19" s="445">
        <v>5423</v>
      </c>
      <c r="F19" s="445">
        <v>6085</v>
      </c>
      <c r="G19" s="445">
        <v>5221</v>
      </c>
      <c r="H19" s="445">
        <v>4653</v>
      </c>
      <c r="I19" s="445">
        <v>4568</v>
      </c>
      <c r="J19" s="445">
        <v>4238</v>
      </c>
      <c r="K19" s="445">
        <v>4255</v>
      </c>
      <c r="L19" s="445">
        <v>4058</v>
      </c>
      <c r="M19" s="445">
        <v>3352</v>
      </c>
      <c r="N19" s="445">
        <v>2328</v>
      </c>
      <c r="O19" s="445">
        <v>1338</v>
      </c>
      <c r="P19" s="445">
        <v>652</v>
      </c>
      <c r="Q19" s="445">
        <v>490</v>
      </c>
      <c r="R19" s="445">
        <v>328</v>
      </c>
      <c r="S19" s="445">
        <v>171</v>
      </c>
      <c r="T19" s="445">
        <v>70</v>
      </c>
      <c r="U19" s="39">
        <v>17</v>
      </c>
      <c r="V19" s="39">
        <v>7</v>
      </c>
    </row>
    <row r="20" spans="1:22" ht="18.75" customHeight="1">
      <c r="A20" s="557"/>
      <c r="B20" s="111" t="s">
        <v>120</v>
      </c>
      <c r="C20" s="56">
        <v>24892</v>
      </c>
      <c r="D20" s="445">
        <v>2103</v>
      </c>
      <c r="E20" s="445">
        <v>2775</v>
      </c>
      <c r="F20" s="445">
        <v>3130</v>
      </c>
      <c r="G20" s="445">
        <v>2683</v>
      </c>
      <c r="H20" s="445">
        <v>2296</v>
      </c>
      <c r="I20" s="445">
        <v>2130</v>
      </c>
      <c r="J20" s="445">
        <v>1886</v>
      </c>
      <c r="K20" s="445">
        <v>1925</v>
      </c>
      <c r="L20" s="445">
        <v>1838</v>
      </c>
      <c r="M20" s="445">
        <v>1679</v>
      </c>
      <c r="N20" s="445">
        <v>1120</v>
      </c>
      <c r="O20" s="445">
        <v>587</v>
      </c>
      <c r="P20" s="445">
        <v>305</v>
      </c>
      <c r="Q20" s="445">
        <v>210</v>
      </c>
      <c r="R20" s="445">
        <v>137</v>
      </c>
      <c r="S20" s="445">
        <v>61</v>
      </c>
      <c r="T20" s="452">
        <v>19</v>
      </c>
      <c r="U20" s="39">
        <v>4</v>
      </c>
      <c r="V20" s="39">
        <v>4</v>
      </c>
    </row>
    <row r="21" spans="1:22" ht="18.75" customHeight="1">
      <c r="A21" s="557"/>
      <c r="B21" s="111" t="s">
        <v>102</v>
      </c>
      <c r="C21" s="56">
        <v>26321</v>
      </c>
      <c r="D21" s="445">
        <v>1856</v>
      </c>
      <c r="E21" s="445">
        <v>2648</v>
      </c>
      <c r="F21" s="445">
        <v>2955</v>
      </c>
      <c r="G21" s="445">
        <v>2538</v>
      </c>
      <c r="H21" s="445">
        <v>2357</v>
      </c>
      <c r="I21" s="445">
        <v>2438</v>
      </c>
      <c r="J21" s="445">
        <v>2352</v>
      </c>
      <c r="K21" s="445">
        <v>2330</v>
      </c>
      <c r="L21" s="445">
        <v>2220</v>
      </c>
      <c r="M21" s="445">
        <v>1673</v>
      </c>
      <c r="N21" s="445">
        <v>1208</v>
      </c>
      <c r="O21" s="445">
        <v>751</v>
      </c>
      <c r="P21" s="445">
        <v>347</v>
      </c>
      <c r="Q21" s="445">
        <v>280</v>
      </c>
      <c r="R21" s="452">
        <v>191</v>
      </c>
      <c r="S21" s="452">
        <v>110</v>
      </c>
      <c r="T21" s="452">
        <v>51</v>
      </c>
      <c r="U21" s="39">
        <v>13</v>
      </c>
      <c r="V21" s="39">
        <v>3</v>
      </c>
    </row>
    <row r="22" spans="1:22" ht="18.75" customHeight="1">
      <c r="A22" s="556" t="s">
        <v>240</v>
      </c>
      <c r="B22" s="111" t="s">
        <v>101</v>
      </c>
      <c r="C22" s="53">
        <v>53436</v>
      </c>
      <c r="D22" s="39">
        <v>4036</v>
      </c>
      <c r="E22" s="39">
        <v>5462</v>
      </c>
      <c r="F22" s="39">
        <v>6245</v>
      </c>
      <c r="G22" s="39">
        <v>5649</v>
      </c>
      <c r="H22" s="39">
        <v>4646</v>
      </c>
      <c r="I22" s="39">
        <v>4872</v>
      </c>
      <c r="J22" s="39">
        <v>4426</v>
      </c>
      <c r="K22" s="39">
        <v>4309</v>
      </c>
      <c r="L22" s="39">
        <v>4159</v>
      </c>
      <c r="M22" s="39">
        <v>3595</v>
      </c>
      <c r="N22" s="39">
        <v>2584</v>
      </c>
      <c r="O22" s="39">
        <v>1557</v>
      </c>
      <c r="P22" s="39">
        <v>733</v>
      </c>
      <c r="Q22" s="39">
        <v>515</v>
      </c>
      <c r="R22" s="39">
        <v>353</v>
      </c>
      <c r="S22" s="39">
        <v>192</v>
      </c>
      <c r="T22" s="39">
        <v>77</v>
      </c>
      <c r="U22" s="39">
        <v>19</v>
      </c>
      <c r="V22" s="39">
        <v>7</v>
      </c>
    </row>
    <row r="23" spans="1:22" ht="18.75" customHeight="1">
      <c r="A23" s="557"/>
      <c r="B23" s="111" t="s">
        <v>120</v>
      </c>
      <c r="C23" s="53">
        <v>25873</v>
      </c>
      <c r="D23" s="39">
        <v>2137</v>
      </c>
      <c r="E23" s="39">
        <v>2795</v>
      </c>
      <c r="F23" s="39">
        <v>3199</v>
      </c>
      <c r="G23" s="39">
        <v>2922</v>
      </c>
      <c r="H23" s="39">
        <v>2321</v>
      </c>
      <c r="I23" s="39">
        <v>2265</v>
      </c>
      <c r="J23" s="39">
        <v>1991</v>
      </c>
      <c r="K23" s="39">
        <v>1905</v>
      </c>
      <c r="L23" s="39">
        <v>1902</v>
      </c>
      <c r="M23" s="39">
        <v>1731</v>
      </c>
      <c r="N23" s="39">
        <v>1259</v>
      </c>
      <c r="O23" s="39">
        <v>642</v>
      </c>
      <c r="P23" s="39">
        <v>337</v>
      </c>
      <c r="Q23" s="39">
        <v>218</v>
      </c>
      <c r="R23" s="39">
        <v>143</v>
      </c>
      <c r="S23" s="39">
        <v>74</v>
      </c>
      <c r="T23" s="39">
        <v>24</v>
      </c>
      <c r="U23" s="39">
        <v>5</v>
      </c>
      <c r="V23" s="39">
        <v>3</v>
      </c>
    </row>
    <row r="24" spans="1:22" ht="18.75" customHeight="1">
      <c r="A24" s="557"/>
      <c r="B24" s="111" t="s">
        <v>102</v>
      </c>
      <c r="C24" s="53">
        <v>27563</v>
      </c>
      <c r="D24" s="39">
        <v>1899</v>
      </c>
      <c r="E24" s="39">
        <v>2667</v>
      </c>
      <c r="F24" s="39">
        <v>3046</v>
      </c>
      <c r="G24" s="39">
        <v>2727</v>
      </c>
      <c r="H24" s="39">
        <v>2325</v>
      </c>
      <c r="I24" s="39">
        <v>2607</v>
      </c>
      <c r="J24" s="39">
        <v>2435</v>
      </c>
      <c r="K24" s="39">
        <v>2404</v>
      </c>
      <c r="L24" s="39">
        <v>2257</v>
      </c>
      <c r="M24" s="39">
        <v>1864</v>
      </c>
      <c r="N24" s="39">
        <v>1325</v>
      </c>
      <c r="O24" s="39">
        <v>915</v>
      </c>
      <c r="P24" s="39">
        <v>396</v>
      </c>
      <c r="Q24" s="39">
        <v>297</v>
      </c>
      <c r="R24" s="39">
        <v>210</v>
      </c>
      <c r="S24" s="39">
        <v>118</v>
      </c>
      <c r="T24" s="39">
        <v>53</v>
      </c>
      <c r="U24" s="39">
        <v>14</v>
      </c>
      <c r="V24" s="39">
        <v>4</v>
      </c>
    </row>
    <row r="25" spans="1:22" ht="18.75" customHeight="1">
      <c r="A25" s="556" t="s">
        <v>241</v>
      </c>
      <c r="B25" s="111" t="s">
        <v>101</v>
      </c>
      <c r="C25" s="56">
        <v>55704</v>
      </c>
      <c r="D25" s="445">
        <v>4214</v>
      </c>
      <c r="E25" s="445">
        <v>5452</v>
      </c>
      <c r="F25" s="445">
        <v>6394</v>
      </c>
      <c r="G25" s="445">
        <v>6019</v>
      </c>
      <c r="H25" s="445">
        <v>4712</v>
      </c>
      <c r="I25" s="445">
        <v>5139</v>
      </c>
      <c r="J25" s="445">
        <v>4568</v>
      </c>
      <c r="K25" s="445">
        <v>4378</v>
      </c>
      <c r="L25" s="445">
        <v>4305</v>
      </c>
      <c r="M25" s="445">
        <v>3794</v>
      </c>
      <c r="N25" s="445">
        <v>2831</v>
      </c>
      <c r="O25" s="445">
        <v>1764</v>
      </c>
      <c r="P25" s="445">
        <v>876</v>
      </c>
      <c r="Q25" s="445">
        <v>542</v>
      </c>
      <c r="R25" s="445">
        <v>395</v>
      </c>
      <c r="S25" s="445">
        <v>195</v>
      </c>
      <c r="T25" s="445">
        <v>97</v>
      </c>
      <c r="U25" s="39">
        <v>21</v>
      </c>
      <c r="V25" s="39">
        <v>8</v>
      </c>
    </row>
    <row r="26" spans="1:22" ht="18.75" customHeight="1">
      <c r="A26" s="557"/>
      <c r="B26" s="111" t="s">
        <v>120</v>
      </c>
      <c r="C26" s="56">
        <v>26921</v>
      </c>
      <c r="D26" s="445">
        <v>2209</v>
      </c>
      <c r="E26" s="445">
        <v>2809</v>
      </c>
      <c r="F26" s="445">
        <v>3273</v>
      </c>
      <c r="G26" s="445">
        <v>3112</v>
      </c>
      <c r="H26" s="445">
        <v>2350</v>
      </c>
      <c r="I26" s="445">
        <v>2402</v>
      </c>
      <c r="J26" s="445">
        <v>2114</v>
      </c>
      <c r="K26" s="445">
        <v>1925</v>
      </c>
      <c r="L26" s="445">
        <v>1920</v>
      </c>
      <c r="M26" s="445">
        <v>1801</v>
      </c>
      <c r="N26" s="445">
        <v>1377</v>
      </c>
      <c r="O26" s="445">
        <v>734</v>
      </c>
      <c r="P26" s="445">
        <v>392</v>
      </c>
      <c r="Q26" s="445">
        <v>224</v>
      </c>
      <c r="R26" s="445">
        <v>170</v>
      </c>
      <c r="S26" s="445">
        <v>72</v>
      </c>
      <c r="T26" s="452">
        <v>30</v>
      </c>
      <c r="U26" s="39">
        <v>4</v>
      </c>
      <c r="V26" s="39">
        <v>3</v>
      </c>
    </row>
    <row r="27" spans="1:22" ht="18.75" customHeight="1">
      <c r="A27" s="557"/>
      <c r="B27" s="111" t="s">
        <v>102</v>
      </c>
      <c r="C27" s="56">
        <v>28783</v>
      </c>
      <c r="D27" s="445">
        <v>2005</v>
      </c>
      <c r="E27" s="445">
        <v>2643</v>
      </c>
      <c r="F27" s="445">
        <v>3121</v>
      </c>
      <c r="G27" s="445">
        <v>2907</v>
      </c>
      <c r="H27" s="445">
        <v>2362</v>
      </c>
      <c r="I27" s="445">
        <v>2737</v>
      </c>
      <c r="J27" s="445">
        <v>2454</v>
      </c>
      <c r="K27" s="445">
        <v>2453</v>
      </c>
      <c r="L27" s="445">
        <v>2385</v>
      </c>
      <c r="M27" s="445">
        <v>1993</v>
      </c>
      <c r="N27" s="445">
        <v>1454</v>
      </c>
      <c r="O27" s="445">
        <v>1030</v>
      </c>
      <c r="P27" s="445">
        <v>484</v>
      </c>
      <c r="Q27" s="445">
        <v>318</v>
      </c>
      <c r="R27" s="452">
        <v>225</v>
      </c>
      <c r="S27" s="452">
        <v>123</v>
      </c>
      <c r="T27" s="452">
        <v>67</v>
      </c>
      <c r="U27" s="39">
        <v>17</v>
      </c>
      <c r="V27" s="39">
        <v>5</v>
      </c>
    </row>
    <row r="28" spans="1:22" s="36" customFormat="1" ht="18.75" customHeight="1">
      <c r="A28" s="556" t="s">
        <v>242</v>
      </c>
      <c r="B28" s="177" t="s">
        <v>98</v>
      </c>
      <c r="C28" s="53">
        <v>57632</v>
      </c>
      <c r="D28" s="39">
        <v>4255</v>
      </c>
      <c r="E28" s="39">
        <v>5468</v>
      </c>
      <c r="F28" s="39">
        <v>6365</v>
      </c>
      <c r="G28" s="39">
        <v>6482</v>
      </c>
      <c r="H28" s="39">
        <v>4813</v>
      </c>
      <c r="I28" s="39">
        <v>5242</v>
      </c>
      <c r="J28" s="39">
        <v>4810</v>
      </c>
      <c r="K28" s="39">
        <v>4487</v>
      </c>
      <c r="L28" s="39">
        <v>4315</v>
      </c>
      <c r="M28" s="39">
        <v>3987</v>
      </c>
      <c r="N28" s="39">
        <v>3086</v>
      </c>
      <c r="O28" s="39">
        <v>1979</v>
      </c>
      <c r="P28" s="39">
        <v>994</v>
      </c>
      <c r="Q28" s="39">
        <v>578</v>
      </c>
      <c r="R28" s="39">
        <v>408</v>
      </c>
      <c r="S28" s="39">
        <v>227</v>
      </c>
      <c r="T28" s="39">
        <v>106</v>
      </c>
      <c r="U28" s="39">
        <v>21</v>
      </c>
      <c r="V28" s="39">
        <v>9</v>
      </c>
    </row>
    <row r="29" spans="1:22" s="36" customFormat="1" ht="18.75" customHeight="1">
      <c r="A29" s="557"/>
      <c r="B29" s="177" t="s">
        <v>99</v>
      </c>
      <c r="C29" s="53">
        <v>27787</v>
      </c>
      <c r="D29" s="39">
        <v>2238</v>
      </c>
      <c r="E29" s="39">
        <v>2834</v>
      </c>
      <c r="F29" s="39">
        <v>3231</v>
      </c>
      <c r="G29" s="39">
        <v>3337</v>
      </c>
      <c r="H29" s="39">
        <v>2427</v>
      </c>
      <c r="I29" s="39">
        <v>2474</v>
      </c>
      <c r="J29" s="39">
        <v>2221</v>
      </c>
      <c r="K29" s="39">
        <v>1973</v>
      </c>
      <c r="L29" s="39">
        <v>1926</v>
      </c>
      <c r="M29" s="39">
        <v>1847</v>
      </c>
      <c r="N29" s="39">
        <v>1484</v>
      </c>
      <c r="O29" s="39">
        <v>836</v>
      </c>
      <c r="P29" s="39">
        <v>411</v>
      </c>
      <c r="Q29" s="39">
        <v>240</v>
      </c>
      <c r="R29" s="39">
        <v>177</v>
      </c>
      <c r="S29" s="39">
        <v>90</v>
      </c>
      <c r="T29" s="39">
        <v>31</v>
      </c>
      <c r="U29" s="39">
        <v>6</v>
      </c>
      <c r="V29" s="39">
        <v>4</v>
      </c>
    </row>
    <row r="30" spans="1:22" s="36" customFormat="1" ht="18.75" customHeight="1">
      <c r="A30" s="557"/>
      <c r="B30" s="177" t="s">
        <v>100</v>
      </c>
      <c r="C30" s="53">
        <v>29845</v>
      </c>
      <c r="D30" s="39">
        <v>2017</v>
      </c>
      <c r="E30" s="39">
        <v>2634</v>
      </c>
      <c r="F30" s="39">
        <v>3134</v>
      </c>
      <c r="G30" s="39">
        <v>3145</v>
      </c>
      <c r="H30" s="39">
        <v>2386</v>
      </c>
      <c r="I30" s="39">
        <v>2768</v>
      </c>
      <c r="J30" s="39">
        <v>2589</v>
      </c>
      <c r="K30" s="39">
        <v>2514</v>
      </c>
      <c r="L30" s="39">
        <v>2389</v>
      </c>
      <c r="M30" s="39">
        <v>2140</v>
      </c>
      <c r="N30" s="39">
        <v>1602</v>
      </c>
      <c r="O30" s="39">
        <v>1143</v>
      </c>
      <c r="P30" s="39">
        <v>583</v>
      </c>
      <c r="Q30" s="39">
        <v>338</v>
      </c>
      <c r="R30" s="39">
        <v>231</v>
      </c>
      <c r="S30" s="39">
        <v>137</v>
      </c>
      <c r="T30" s="39">
        <v>75</v>
      </c>
      <c r="U30" s="39">
        <v>15</v>
      </c>
      <c r="V30" s="39">
        <v>5</v>
      </c>
    </row>
    <row r="31" spans="1:22" ht="18.75" customHeight="1">
      <c r="A31" s="556" t="s">
        <v>58</v>
      </c>
      <c r="B31" s="177" t="s">
        <v>98</v>
      </c>
      <c r="C31" s="53">
        <v>59321</v>
      </c>
      <c r="D31" s="39">
        <v>4215</v>
      </c>
      <c r="E31" s="39">
        <v>5380</v>
      </c>
      <c r="F31" s="39">
        <v>6392</v>
      </c>
      <c r="G31" s="39">
        <v>6757</v>
      </c>
      <c r="H31" s="39">
        <v>5032</v>
      </c>
      <c r="I31" s="39">
        <v>5282</v>
      </c>
      <c r="J31" s="39">
        <v>5016</v>
      </c>
      <c r="K31" s="39">
        <v>4613</v>
      </c>
      <c r="L31" s="39">
        <v>4392</v>
      </c>
      <c r="M31" s="39">
        <v>4171</v>
      </c>
      <c r="N31" s="39">
        <v>3248</v>
      </c>
      <c r="O31" s="39">
        <v>2261</v>
      </c>
      <c r="P31" s="39">
        <v>1157</v>
      </c>
      <c r="Q31" s="39">
        <v>574</v>
      </c>
      <c r="R31" s="39">
        <v>417</v>
      </c>
      <c r="S31" s="39">
        <v>257</v>
      </c>
      <c r="T31" s="39">
        <v>116</v>
      </c>
      <c r="U31" s="39">
        <v>30</v>
      </c>
      <c r="V31" s="39">
        <v>11</v>
      </c>
    </row>
    <row r="32" spans="1:22" ht="18.75" customHeight="1">
      <c r="A32" s="557"/>
      <c r="B32" s="177" t="s">
        <v>99</v>
      </c>
      <c r="C32" s="53">
        <v>28598</v>
      </c>
      <c r="D32" s="39">
        <v>2228</v>
      </c>
      <c r="E32" s="39">
        <v>2777</v>
      </c>
      <c r="F32" s="39">
        <v>3271</v>
      </c>
      <c r="G32" s="39">
        <v>3471</v>
      </c>
      <c r="H32" s="39">
        <v>2543</v>
      </c>
      <c r="I32" s="39">
        <v>2513</v>
      </c>
      <c r="J32" s="39">
        <v>2324</v>
      </c>
      <c r="K32" s="39">
        <v>2037</v>
      </c>
      <c r="L32" s="39">
        <v>1995</v>
      </c>
      <c r="M32" s="39">
        <v>1868</v>
      </c>
      <c r="N32" s="39">
        <v>1575</v>
      </c>
      <c r="O32" s="39">
        <v>956</v>
      </c>
      <c r="P32" s="39">
        <v>474</v>
      </c>
      <c r="Q32" s="39">
        <v>240</v>
      </c>
      <c r="R32" s="39">
        <v>182</v>
      </c>
      <c r="S32" s="39">
        <v>90</v>
      </c>
      <c r="T32" s="39">
        <v>41</v>
      </c>
      <c r="U32" s="39">
        <v>8</v>
      </c>
      <c r="V32" s="39">
        <v>5</v>
      </c>
    </row>
    <row r="33" spans="1:22" ht="18.75" customHeight="1" thickBot="1">
      <c r="A33" s="558"/>
      <c r="B33" s="178" t="s">
        <v>100</v>
      </c>
      <c r="C33" s="149">
        <v>30723</v>
      </c>
      <c r="D33" s="433">
        <v>1987</v>
      </c>
      <c r="E33" s="433">
        <v>2603</v>
      </c>
      <c r="F33" s="433">
        <v>3121</v>
      </c>
      <c r="G33" s="433">
        <v>3286</v>
      </c>
      <c r="H33" s="433">
        <v>2489</v>
      </c>
      <c r="I33" s="433">
        <v>2769</v>
      </c>
      <c r="J33" s="433">
        <v>2692</v>
      </c>
      <c r="K33" s="433">
        <v>2576</v>
      </c>
      <c r="L33" s="433">
        <v>2397</v>
      </c>
      <c r="M33" s="433">
        <v>2303</v>
      </c>
      <c r="N33" s="433">
        <v>1673</v>
      </c>
      <c r="O33" s="433">
        <v>1305</v>
      </c>
      <c r="P33" s="433">
        <v>683</v>
      </c>
      <c r="Q33" s="433">
        <v>334</v>
      </c>
      <c r="R33" s="433">
        <v>235</v>
      </c>
      <c r="S33" s="433">
        <v>167</v>
      </c>
      <c r="T33" s="433">
        <v>75</v>
      </c>
      <c r="U33" s="433">
        <v>22</v>
      </c>
      <c r="V33" s="433">
        <v>6</v>
      </c>
    </row>
    <row r="34" spans="1:20" ht="15.75" customHeight="1">
      <c r="A34" s="118" t="s">
        <v>59</v>
      </c>
      <c r="B34" s="13"/>
      <c r="G34" s="7"/>
      <c r="J34" s="13"/>
      <c r="K34" s="13"/>
      <c r="L34" s="13" t="s">
        <v>57</v>
      </c>
      <c r="M34" s="51"/>
      <c r="N34" s="7"/>
      <c r="O34" s="7"/>
      <c r="P34" s="7"/>
      <c r="Q34" s="7"/>
      <c r="R34" s="7"/>
      <c r="S34" s="7"/>
      <c r="T34" s="7"/>
    </row>
  </sheetData>
  <mergeCells count="11">
    <mergeCell ref="A7:A9"/>
    <mergeCell ref="A10:A12"/>
    <mergeCell ref="A13:A15"/>
    <mergeCell ref="L2:V2"/>
    <mergeCell ref="A2:K2"/>
    <mergeCell ref="A16:A18"/>
    <mergeCell ref="A25:A27"/>
    <mergeCell ref="A31:A33"/>
    <mergeCell ref="A19:A21"/>
    <mergeCell ref="A28:A30"/>
    <mergeCell ref="A22:A24"/>
  </mergeCells>
  <printOptions horizontalCentered="1"/>
  <pageMargins left="1.1811023622047245" right="1.1811023622047245" top="1.5748031496062993" bottom="1.5748031496062993" header="0.5118110236220472" footer="0.9055118110236221"/>
  <pageSetup firstPageNumber="5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8"/>
  <sheetViews>
    <sheetView showGridLines="0" zoomScale="120" zoomScaleNormal="120" zoomScaleSheetLayoutView="100" workbookViewId="0" topLeftCell="A1">
      <selection activeCell="M39" sqref="M39"/>
    </sheetView>
  </sheetViews>
  <sheetFormatPr defaultColWidth="9.00390625" defaultRowHeight="21.75" customHeight="1"/>
  <cols>
    <col min="1" max="1" width="14.125" style="15" customWidth="1"/>
    <col min="2" max="2" width="7.125" style="15" customWidth="1"/>
    <col min="3" max="3" width="7.125" style="13" customWidth="1"/>
    <col min="4" max="9" width="6.625" style="13" customWidth="1"/>
    <col min="10" max="10" width="6.625" style="142" customWidth="1"/>
    <col min="11" max="18" width="6.125" style="142" customWidth="1"/>
    <col min="19" max="21" width="5.875" style="142" customWidth="1"/>
    <col min="22" max="22" width="8.125" style="143" customWidth="1"/>
    <col min="23" max="24" width="10.625" style="7" hidden="1" customWidth="1"/>
    <col min="25" max="16384" width="10.625" style="7" customWidth="1"/>
  </cols>
  <sheetData>
    <row r="1" spans="1:22" s="15" customFormat="1" ht="18" customHeight="1">
      <c r="A1" s="118" t="s">
        <v>131</v>
      </c>
      <c r="B1" s="2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75" t="s">
        <v>142</v>
      </c>
    </row>
    <row r="2" spans="1:22" s="19" customFormat="1" ht="24.75" customHeight="1">
      <c r="A2" s="595" t="s">
        <v>26</v>
      </c>
      <c r="B2" s="596"/>
      <c r="C2" s="596"/>
      <c r="D2" s="596"/>
      <c r="E2" s="596"/>
      <c r="F2" s="596"/>
      <c r="G2" s="596"/>
      <c r="H2" s="596"/>
      <c r="I2" s="596"/>
      <c r="J2" s="596"/>
      <c r="K2" s="596" t="s">
        <v>256</v>
      </c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</row>
    <row r="3" spans="1:22" ht="12.75" customHeight="1" thickBot="1">
      <c r="A3" s="1"/>
      <c r="B3" s="1"/>
      <c r="C3" s="4"/>
      <c r="D3" s="4"/>
      <c r="E3" s="4"/>
      <c r="F3" s="4"/>
      <c r="G3" s="4"/>
      <c r="H3" s="4"/>
      <c r="I3" s="4"/>
      <c r="J3" s="126" t="s">
        <v>132</v>
      </c>
      <c r="L3" s="4"/>
      <c r="M3" s="4"/>
      <c r="N3" s="4"/>
      <c r="O3" s="4"/>
      <c r="P3" s="4"/>
      <c r="Q3" s="4"/>
      <c r="R3" s="4"/>
      <c r="S3" s="4"/>
      <c r="T3" s="4"/>
      <c r="U3" s="4"/>
      <c r="V3" s="55" t="s">
        <v>257</v>
      </c>
    </row>
    <row r="4" spans="1:22" ht="17.25" customHeight="1">
      <c r="A4" s="109" t="s">
        <v>234</v>
      </c>
      <c r="B4" s="84" t="s">
        <v>121</v>
      </c>
      <c r="C4" s="106" t="s">
        <v>210</v>
      </c>
      <c r="D4" s="66" t="s">
        <v>211</v>
      </c>
      <c r="E4" s="67" t="s">
        <v>212</v>
      </c>
      <c r="F4" s="67" t="s">
        <v>213</v>
      </c>
      <c r="G4" s="67" t="s">
        <v>214</v>
      </c>
      <c r="H4" s="67" t="s">
        <v>215</v>
      </c>
      <c r="I4" s="67" t="s">
        <v>216</v>
      </c>
      <c r="J4" s="140" t="s">
        <v>217</v>
      </c>
      <c r="K4" s="66" t="s">
        <v>218</v>
      </c>
      <c r="L4" s="66" t="s">
        <v>219</v>
      </c>
      <c r="M4" s="66" t="s">
        <v>220</v>
      </c>
      <c r="N4" s="66" t="s">
        <v>221</v>
      </c>
      <c r="O4" s="66" t="s">
        <v>222</v>
      </c>
      <c r="P4" s="66" t="s">
        <v>223</v>
      </c>
      <c r="Q4" s="66" t="s">
        <v>224</v>
      </c>
      <c r="R4" s="66" t="s">
        <v>225</v>
      </c>
      <c r="S4" s="66" t="s">
        <v>226</v>
      </c>
      <c r="T4" s="66" t="s">
        <v>243</v>
      </c>
      <c r="U4" s="66" t="s">
        <v>244</v>
      </c>
      <c r="V4" s="68" t="s">
        <v>227</v>
      </c>
    </row>
    <row r="5" spans="1:22" ht="27" customHeight="1" thickBot="1">
      <c r="A5" s="60" t="s">
        <v>145</v>
      </c>
      <c r="B5" s="64" t="s">
        <v>228</v>
      </c>
      <c r="C5" s="62" t="s">
        <v>61</v>
      </c>
      <c r="D5" s="31" t="s">
        <v>229</v>
      </c>
      <c r="E5" s="331" t="s">
        <v>104</v>
      </c>
      <c r="F5" s="331" t="s">
        <v>105</v>
      </c>
      <c r="G5" s="331" t="s">
        <v>106</v>
      </c>
      <c r="H5" s="331" t="s">
        <v>107</v>
      </c>
      <c r="I5" s="331" t="s">
        <v>108</v>
      </c>
      <c r="J5" s="332" t="s">
        <v>109</v>
      </c>
      <c r="K5" s="331" t="s">
        <v>110</v>
      </c>
      <c r="L5" s="331" t="s">
        <v>111</v>
      </c>
      <c r="M5" s="331" t="s">
        <v>112</v>
      </c>
      <c r="N5" s="331" t="s">
        <v>113</v>
      </c>
      <c r="O5" s="331" t="s">
        <v>114</v>
      </c>
      <c r="P5" s="331" t="s">
        <v>115</v>
      </c>
      <c r="Q5" s="331" t="s">
        <v>116</v>
      </c>
      <c r="R5" s="331" t="s">
        <v>117</v>
      </c>
      <c r="S5" s="331" t="s">
        <v>118</v>
      </c>
      <c r="T5" s="331" t="s">
        <v>230</v>
      </c>
      <c r="U5" s="331" t="s">
        <v>231</v>
      </c>
      <c r="V5" s="541" t="s">
        <v>232</v>
      </c>
    </row>
    <row r="6" spans="1:22" ht="12.75" customHeight="1">
      <c r="A6" s="713" t="s">
        <v>62</v>
      </c>
      <c r="B6" s="333" t="s">
        <v>63</v>
      </c>
      <c r="C6" s="72">
        <f>SUM(C7:C8)</f>
        <v>61044</v>
      </c>
      <c r="D6" s="492">
        <f>SUM(D7:D8)</f>
        <v>4270</v>
      </c>
      <c r="E6" s="492">
        <f aca="true" t="shared" si="0" ref="E6:V6">SUM(E7:E8)</f>
        <v>5307</v>
      </c>
      <c r="F6" s="492">
        <f t="shared" si="0"/>
        <v>6266</v>
      </c>
      <c r="G6" s="492">
        <f>SUM(G7:G8)</f>
        <v>6995</v>
      </c>
      <c r="H6" s="492">
        <f t="shared" si="0"/>
        <v>5481</v>
      </c>
      <c r="I6" s="492">
        <f t="shared" si="0"/>
        <v>5200</v>
      </c>
      <c r="J6" s="492">
        <f t="shared" si="0"/>
        <v>5251</v>
      </c>
      <c r="K6" s="492">
        <f t="shared" si="0"/>
        <v>4713</v>
      </c>
      <c r="L6" s="492">
        <f t="shared" si="0"/>
        <v>4603</v>
      </c>
      <c r="M6" s="492">
        <f t="shared" si="0"/>
        <v>4151</v>
      </c>
      <c r="N6" s="492">
        <f t="shared" si="0"/>
        <v>3464</v>
      </c>
      <c r="O6" s="492">
        <f t="shared" si="0"/>
        <v>2502</v>
      </c>
      <c r="P6" s="492">
        <f t="shared" si="0"/>
        <v>1361</v>
      </c>
      <c r="Q6" s="492">
        <f>SUM(Q7:Q8)</f>
        <v>605</v>
      </c>
      <c r="R6" s="492">
        <f t="shared" si="0"/>
        <v>434</v>
      </c>
      <c r="S6" s="492">
        <f>SUM(S7:S8)</f>
        <v>277</v>
      </c>
      <c r="T6" s="492">
        <f>SUM(T7:T8)</f>
        <v>118</v>
      </c>
      <c r="U6" s="492">
        <f>SUM(U7:U8)</f>
        <v>35</v>
      </c>
      <c r="V6" s="492">
        <f t="shared" si="0"/>
        <v>11</v>
      </c>
    </row>
    <row r="7" spans="1:23" ht="12.75" customHeight="1">
      <c r="A7" s="714"/>
      <c r="B7" s="333" t="s">
        <v>99</v>
      </c>
      <c r="C7" s="56">
        <f>SUM(D7:V7)</f>
        <v>29410</v>
      </c>
      <c r="D7" s="445">
        <f aca="true" t="shared" si="1" ref="D7:P7">D10+D13+D16+D19+D25+D22+D28+D31+D34+D37+D40+D43+D46</f>
        <v>2254</v>
      </c>
      <c r="E7" s="445">
        <f t="shared" si="1"/>
        <v>2771</v>
      </c>
      <c r="F7" s="445">
        <f t="shared" si="1"/>
        <v>3174</v>
      </c>
      <c r="G7" s="445">
        <f t="shared" si="1"/>
        <v>3602</v>
      </c>
      <c r="H7" s="445">
        <f t="shared" si="1"/>
        <v>2758</v>
      </c>
      <c r="I7" s="445">
        <f t="shared" si="1"/>
        <v>2511</v>
      </c>
      <c r="J7" s="445">
        <f t="shared" si="1"/>
        <v>2446</v>
      </c>
      <c r="K7" s="445">
        <f t="shared" si="1"/>
        <v>2101</v>
      </c>
      <c r="L7" s="445">
        <f t="shared" si="1"/>
        <v>2064</v>
      </c>
      <c r="M7" s="445">
        <f t="shared" si="1"/>
        <v>1831</v>
      </c>
      <c r="N7" s="445">
        <f t="shared" si="1"/>
        <v>1668</v>
      </c>
      <c r="O7" s="445">
        <f t="shared" si="1"/>
        <v>1091</v>
      </c>
      <c r="P7" s="445">
        <f t="shared" si="1"/>
        <v>542</v>
      </c>
      <c r="Q7" s="445">
        <f>Q10+Q13+Q16+Q19+Q25+Q22+Q28+Q31+Q34+Q37+Q43+Q46</f>
        <v>258</v>
      </c>
      <c r="R7" s="445">
        <f>R10+R13+R16+R19+R25+R22+R28+R31+R34+R37+R46</f>
        <v>181</v>
      </c>
      <c r="S7" s="445">
        <f>S13+S16+S19+S25+S22+S28+S31+S34+S37+S46+S10</f>
        <v>103</v>
      </c>
      <c r="T7" s="445">
        <f>T10+T13+T19+T25+T22+T28+T31+T34+T37+T46</f>
        <v>41</v>
      </c>
      <c r="U7" s="445">
        <f>U10+U19+U25+U46</f>
        <v>9</v>
      </c>
      <c r="V7" s="445">
        <f>V22+V37+V46</f>
        <v>5</v>
      </c>
      <c r="W7" s="36"/>
    </row>
    <row r="8" spans="1:23" ht="12.75" customHeight="1">
      <c r="A8" s="714"/>
      <c r="B8" s="333" t="s">
        <v>64</v>
      </c>
      <c r="C8" s="56">
        <f>SUM(D8:V8)</f>
        <v>31634</v>
      </c>
      <c r="D8" s="445">
        <f aca="true" t="shared" si="2" ref="D8:P8">D11+D14+D17+D20+D26+D23+D29+D32+D35+D38+D41+D44+D47</f>
        <v>2016</v>
      </c>
      <c r="E8" s="445">
        <f t="shared" si="2"/>
        <v>2536</v>
      </c>
      <c r="F8" s="445">
        <f t="shared" si="2"/>
        <v>3092</v>
      </c>
      <c r="G8" s="445">
        <f t="shared" si="2"/>
        <v>3393</v>
      </c>
      <c r="H8" s="445">
        <f t="shared" si="2"/>
        <v>2723</v>
      </c>
      <c r="I8" s="445">
        <f t="shared" si="2"/>
        <v>2689</v>
      </c>
      <c r="J8" s="445">
        <f t="shared" si="2"/>
        <v>2805</v>
      </c>
      <c r="K8" s="445">
        <f t="shared" si="2"/>
        <v>2612</v>
      </c>
      <c r="L8" s="445">
        <f t="shared" si="2"/>
        <v>2539</v>
      </c>
      <c r="M8" s="445">
        <f t="shared" si="2"/>
        <v>2320</v>
      </c>
      <c r="N8" s="445">
        <f t="shared" si="2"/>
        <v>1796</v>
      </c>
      <c r="O8" s="445">
        <f t="shared" si="2"/>
        <v>1411</v>
      </c>
      <c r="P8" s="445">
        <f t="shared" si="2"/>
        <v>819</v>
      </c>
      <c r="Q8" s="445">
        <f>Q11+Q14+Q17+Q20+Q26+Q23+Q29+Q32+Q35+Q38+Q47</f>
        <v>347</v>
      </c>
      <c r="R8" s="445">
        <f>R11+R14+R17+R20+R26+R23+R29+R32+R35+R38+R41+R44+R47</f>
        <v>253</v>
      </c>
      <c r="S8" s="445">
        <f>S11+S14+S17+S20+S26+S23+S32+S35+S38+S47</f>
        <v>174</v>
      </c>
      <c r="T8" s="445">
        <f>T11+T14+T17+T20+T26+T29+T32+T35+T38+T47</f>
        <v>77</v>
      </c>
      <c r="U8" s="445">
        <f>U14+U17+U20+U26+U23+U29+U35+U44+U47</f>
        <v>26</v>
      </c>
      <c r="V8" s="445">
        <f>V29+V32+V47</f>
        <v>6</v>
      </c>
      <c r="W8" s="36"/>
    </row>
    <row r="9" spans="1:22" ht="12.75" customHeight="1">
      <c r="A9" s="711" t="s">
        <v>65</v>
      </c>
      <c r="B9" s="333" t="s">
        <v>63</v>
      </c>
      <c r="C9" s="56">
        <f>SUM(C10:C11)</f>
        <v>6094</v>
      </c>
      <c r="D9" s="445">
        <f>SUM(D10:D11)</f>
        <v>407</v>
      </c>
      <c r="E9" s="445">
        <f aca="true" t="shared" si="3" ref="E9:U9">SUM(E10:E11)</f>
        <v>528</v>
      </c>
      <c r="F9" s="445">
        <f t="shared" si="3"/>
        <v>727</v>
      </c>
      <c r="G9" s="445">
        <f t="shared" si="3"/>
        <v>687</v>
      </c>
      <c r="H9" s="445">
        <f t="shared" si="3"/>
        <v>521</v>
      </c>
      <c r="I9" s="445">
        <f t="shared" si="3"/>
        <v>505</v>
      </c>
      <c r="J9" s="445">
        <f t="shared" si="3"/>
        <v>523</v>
      </c>
      <c r="K9" s="445">
        <f t="shared" si="3"/>
        <v>561</v>
      </c>
      <c r="L9" s="445">
        <f t="shared" si="3"/>
        <v>525</v>
      </c>
      <c r="M9" s="445">
        <f t="shared" si="3"/>
        <v>432</v>
      </c>
      <c r="N9" s="445">
        <f t="shared" si="3"/>
        <v>330</v>
      </c>
      <c r="O9" s="445">
        <f t="shared" si="3"/>
        <v>192</v>
      </c>
      <c r="P9" s="445">
        <f t="shared" si="3"/>
        <v>83</v>
      </c>
      <c r="Q9" s="445">
        <f>SUM(Q10:Q11)</f>
        <v>32</v>
      </c>
      <c r="R9" s="445">
        <f t="shared" si="3"/>
        <v>29</v>
      </c>
      <c r="S9" s="445">
        <f t="shared" si="3"/>
        <v>9</v>
      </c>
      <c r="T9" s="445">
        <f t="shared" si="3"/>
        <v>2</v>
      </c>
      <c r="U9" s="445">
        <f t="shared" si="3"/>
        <v>1</v>
      </c>
      <c r="V9" s="444" t="s">
        <v>651</v>
      </c>
    </row>
    <row r="10" spans="1:22" ht="12.75" customHeight="1">
      <c r="A10" s="712"/>
      <c r="B10" s="333" t="s">
        <v>99</v>
      </c>
      <c r="C10" s="56">
        <f>SUM(D10:V10)</f>
        <v>2754</v>
      </c>
      <c r="D10" s="445">
        <v>216</v>
      </c>
      <c r="E10" s="445">
        <v>272</v>
      </c>
      <c r="F10" s="445">
        <v>369</v>
      </c>
      <c r="G10" s="445">
        <v>357</v>
      </c>
      <c r="H10" s="445">
        <v>267</v>
      </c>
      <c r="I10" s="445">
        <v>217</v>
      </c>
      <c r="J10" s="445">
        <v>222</v>
      </c>
      <c r="K10" s="445">
        <v>210</v>
      </c>
      <c r="L10" s="445">
        <v>186</v>
      </c>
      <c r="M10" s="445">
        <v>163</v>
      </c>
      <c r="N10" s="445">
        <v>140</v>
      </c>
      <c r="O10" s="445">
        <v>77</v>
      </c>
      <c r="P10" s="445">
        <v>30</v>
      </c>
      <c r="Q10" s="445">
        <v>10</v>
      </c>
      <c r="R10" s="445">
        <v>14</v>
      </c>
      <c r="S10" s="445">
        <v>2</v>
      </c>
      <c r="T10" s="445">
        <v>1</v>
      </c>
      <c r="U10" s="445">
        <v>1</v>
      </c>
      <c r="V10" s="444" t="s">
        <v>651</v>
      </c>
    </row>
    <row r="11" spans="1:22" ht="12.75" customHeight="1">
      <c r="A11" s="712"/>
      <c r="B11" s="333" t="s">
        <v>64</v>
      </c>
      <c r="C11" s="56">
        <f>SUM(D11:V11)</f>
        <v>3340</v>
      </c>
      <c r="D11" s="445">
        <v>191</v>
      </c>
      <c r="E11" s="445">
        <v>256</v>
      </c>
      <c r="F11" s="445">
        <v>358</v>
      </c>
      <c r="G11" s="445">
        <v>330</v>
      </c>
      <c r="H11" s="445">
        <v>254</v>
      </c>
      <c r="I11" s="445">
        <v>288</v>
      </c>
      <c r="J11" s="445">
        <v>301</v>
      </c>
      <c r="K11" s="445">
        <v>351</v>
      </c>
      <c r="L11" s="445">
        <v>339</v>
      </c>
      <c r="M11" s="445">
        <v>269</v>
      </c>
      <c r="N11" s="445">
        <v>190</v>
      </c>
      <c r="O11" s="445">
        <v>115</v>
      </c>
      <c r="P11" s="445">
        <v>53</v>
      </c>
      <c r="Q11" s="445">
        <v>22</v>
      </c>
      <c r="R11" s="445">
        <v>15</v>
      </c>
      <c r="S11" s="445">
        <v>7</v>
      </c>
      <c r="T11" s="445">
        <v>1</v>
      </c>
      <c r="U11" s="444" t="s">
        <v>60</v>
      </c>
      <c r="V11" s="444" t="s">
        <v>651</v>
      </c>
    </row>
    <row r="12" spans="1:24" ht="12.75" customHeight="1">
      <c r="A12" s="711" t="s">
        <v>66</v>
      </c>
      <c r="B12" s="333" t="s">
        <v>63</v>
      </c>
      <c r="C12" s="56">
        <f>SUM(C13:C14)</f>
        <v>7109</v>
      </c>
      <c r="D12" s="39">
        <f>SUM(D13:D14)</f>
        <v>449</v>
      </c>
      <c r="E12" s="39">
        <f aca="true" t="shared" si="4" ref="E12:U12">SUM(E13:E14)</f>
        <v>599</v>
      </c>
      <c r="F12" s="39">
        <f t="shared" si="4"/>
        <v>784</v>
      </c>
      <c r="G12" s="39">
        <f t="shared" si="4"/>
        <v>866</v>
      </c>
      <c r="H12" s="39">
        <f t="shared" si="4"/>
        <v>616</v>
      </c>
      <c r="I12" s="39">
        <f t="shared" si="4"/>
        <v>613</v>
      </c>
      <c r="J12" s="39">
        <f t="shared" si="4"/>
        <v>655</v>
      </c>
      <c r="K12" s="39">
        <f t="shared" si="4"/>
        <v>557</v>
      </c>
      <c r="L12" s="39">
        <f t="shared" si="4"/>
        <v>543</v>
      </c>
      <c r="M12" s="39">
        <f t="shared" si="4"/>
        <v>457</v>
      </c>
      <c r="N12" s="39">
        <f t="shared" si="4"/>
        <v>380</v>
      </c>
      <c r="O12" s="39">
        <f t="shared" si="4"/>
        <v>299</v>
      </c>
      <c r="P12" s="39">
        <f t="shared" si="4"/>
        <v>168</v>
      </c>
      <c r="Q12" s="39">
        <f t="shared" si="4"/>
        <v>69</v>
      </c>
      <c r="R12" s="39">
        <f t="shared" si="4"/>
        <v>26</v>
      </c>
      <c r="S12" s="39">
        <f t="shared" si="4"/>
        <v>19</v>
      </c>
      <c r="T12" s="39">
        <f t="shared" si="4"/>
        <v>8</v>
      </c>
      <c r="U12" s="39">
        <f t="shared" si="4"/>
        <v>1</v>
      </c>
      <c r="V12" s="424" t="s">
        <v>651</v>
      </c>
      <c r="W12" s="7">
        <v>1405</v>
      </c>
      <c r="X12" s="7">
        <f>W12/$W$15*100</f>
        <v>2.3684698504745367</v>
      </c>
    </row>
    <row r="13" spans="1:24" ht="12.75" customHeight="1">
      <c r="A13" s="712"/>
      <c r="B13" s="333" t="s">
        <v>99</v>
      </c>
      <c r="C13" s="56">
        <f>SUM(D13:V13)</f>
        <v>3146</v>
      </c>
      <c r="D13" s="445">
        <v>221</v>
      </c>
      <c r="E13" s="445">
        <v>311</v>
      </c>
      <c r="F13" s="445">
        <v>390</v>
      </c>
      <c r="G13" s="445">
        <v>436</v>
      </c>
      <c r="H13" s="445">
        <v>308</v>
      </c>
      <c r="I13" s="445">
        <v>272</v>
      </c>
      <c r="J13" s="445">
        <v>270</v>
      </c>
      <c r="K13" s="445">
        <v>227</v>
      </c>
      <c r="L13" s="445">
        <v>216</v>
      </c>
      <c r="M13" s="445">
        <v>170</v>
      </c>
      <c r="N13" s="445">
        <v>152</v>
      </c>
      <c r="O13" s="445">
        <v>99</v>
      </c>
      <c r="P13" s="445">
        <v>42</v>
      </c>
      <c r="Q13" s="445">
        <v>23</v>
      </c>
      <c r="R13" s="445">
        <v>4</v>
      </c>
      <c r="S13" s="445">
        <v>2</v>
      </c>
      <c r="T13" s="445">
        <v>3</v>
      </c>
      <c r="U13" s="444" t="s">
        <v>60</v>
      </c>
      <c r="V13" s="444" t="s">
        <v>651</v>
      </c>
      <c r="W13" s="7">
        <v>41929</v>
      </c>
      <c r="X13" s="7">
        <f>W13/$W$15*100</f>
        <v>70.68154616409029</v>
      </c>
    </row>
    <row r="14" spans="1:24" ht="12.75" customHeight="1">
      <c r="A14" s="712"/>
      <c r="B14" s="333" t="s">
        <v>64</v>
      </c>
      <c r="C14" s="56">
        <f>SUM(D14:V14)</f>
        <v>3963</v>
      </c>
      <c r="D14" s="445">
        <v>228</v>
      </c>
      <c r="E14" s="445">
        <v>288</v>
      </c>
      <c r="F14" s="445">
        <v>394</v>
      </c>
      <c r="G14" s="445">
        <v>430</v>
      </c>
      <c r="H14" s="445">
        <v>308</v>
      </c>
      <c r="I14" s="445">
        <v>341</v>
      </c>
      <c r="J14" s="445">
        <v>385</v>
      </c>
      <c r="K14" s="445">
        <v>330</v>
      </c>
      <c r="L14" s="445">
        <v>327</v>
      </c>
      <c r="M14" s="445">
        <v>287</v>
      </c>
      <c r="N14" s="445">
        <v>228</v>
      </c>
      <c r="O14" s="445">
        <v>200</v>
      </c>
      <c r="P14" s="445">
        <v>126</v>
      </c>
      <c r="Q14" s="445">
        <v>46</v>
      </c>
      <c r="R14" s="445">
        <v>22</v>
      </c>
      <c r="S14" s="445">
        <v>17</v>
      </c>
      <c r="T14" s="445">
        <v>5</v>
      </c>
      <c r="U14" s="445">
        <v>1</v>
      </c>
      <c r="V14" s="444" t="s">
        <v>651</v>
      </c>
      <c r="W14" s="7">
        <v>15987</v>
      </c>
      <c r="X14" s="7">
        <f>W14/$W$15*100</f>
        <v>26.94998398543518</v>
      </c>
    </row>
    <row r="15" spans="1:23" ht="12.75" customHeight="1">
      <c r="A15" s="711" t="s">
        <v>67</v>
      </c>
      <c r="B15" s="333" t="s">
        <v>63</v>
      </c>
      <c r="C15" s="56">
        <f>SUM(C16:C17)</f>
        <v>5534</v>
      </c>
      <c r="D15" s="445">
        <f>SUM(D16:D17)</f>
        <v>358</v>
      </c>
      <c r="E15" s="445">
        <f aca="true" t="shared" si="5" ref="E15:U15">SUM(E16:E17)</f>
        <v>503</v>
      </c>
      <c r="F15" s="445">
        <f t="shared" si="5"/>
        <v>580</v>
      </c>
      <c r="G15" s="445">
        <f t="shared" si="5"/>
        <v>646</v>
      </c>
      <c r="H15" s="445">
        <f t="shared" si="5"/>
        <v>528</v>
      </c>
      <c r="I15" s="445">
        <f t="shared" si="5"/>
        <v>511</v>
      </c>
      <c r="J15" s="445">
        <f t="shared" si="5"/>
        <v>462</v>
      </c>
      <c r="K15" s="445">
        <f t="shared" si="5"/>
        <v>383</v>
      </c>
      <c r="L15" s="445">
        <f t="shared" si="5"/>
        <v>386</v>
      </c>
      <c r="M15" s="445">
        <f t="shared" si="5"/>
        <v>361</v>
      </c>
      <c r="N15" s="445">
        <f t="shared" si="5"/>
        <v>313</v>
      </c>
      <c r="O15" s="445">
        <f t="shared" si="5"/>
        <v>266</v>
      </c>
      <c r="P15" s="445">
        <f t="shared" si="5"/>
        <v>142</v>
      </c>
      <c r="Q15" s="445">
        <f t="shared" si="5"/>
        <v>50</v>
      </c>
      <c r="R15" s="445">
        <f t="shared" si="5"/>
        <v>24</v>
      </c>
      <c r="S15" s="445">
        <f t="shared" si="5"/>
        <v>15</v>
      </c>
      <c r="T15" s="445">
        <f t="shared" si="5"/>
        <v>3</v>
      </c>
      <c r="U15" s="445">
        <f t="shared" si="5"/>
        <v>3</v>
      </c>
      <c r="V15" s="444" t="s">
        <v>651</v>
      </c>
      <c r="W15" s="7">
        <f>SUM(W12:W14)</f>
        <v>59321</v>
      </c>
    </row>
    <row r="16" spans="1:22" ht="12.75" customHeight="1">
      <c r="A16" s="712"/>
      <c r="B16" s="333" t="s">
        <v>99</v>
      </c>
      <c r="C16" s="56">
        <f>SUM(D16:V16)</f>
        <v>2543</v>
      </c>
      <c r="D16" s="445">
        <v>208</v>
      </c>
      <c r="E16" s="445">
        <v>250</v>
      </c>
      <c r="F16" s="445">
        <v>273</v>
      </c>
      <c r="G16" s="445">
        <v>325</v>
      </c>
      <c r="H16" s="445">
        <v>261</v>
      </c>
      <c r="I16" s="445">
        <v>246</v>
      </c>
      <c r="J16" s="445">
        <v>207</v>
      </c>
      <c r="K16" s="445">
        <v>176</v>
      </c>
      <c r="L16" s="445">
        <v>150</v>
      </c>
      <c r="M16" s="445">
        <v>151</v>
      </c>
      <c r="N16" s="445">
        <v>125</v>
      </c>
      <c r="O16" s="445">
        <v>95</v>
      </c>
      <c r="P16" s="445">
        <v>51</v>
      </c>
      <c r="Q16" s="445">
        <v>15</v>
      </c>
      <c r="R16" s="445">
        <v>9</v>
      </c>
      <c r="S16" s="445">
        <v>1</v>
      </c>
      <c r="T16" s="444" t="s">
        <v>60</v>
      </c>
      <c r="U16" s="444" t="s">
        <v>60</v>
      </c>
      <c r="V16" s="444" t="s">
        <v>651</v>
      </c>
    </row>
    <row r="17" spans="1:23" ht="12.75" customHeight="1">
      <c r="A17" s="712"/>
      <c r="B17" s="333" t="s">
        <v>64</v>
      </c>
      <c r="C17" s="56">
        <f>SUM(D17:V17)</f>
        <v>2991</v>
      </c>
      <c r="D17" s="445">
        <v>150</v>
      </c>
      <c r="E17" s="445">
        <v>253</v>
      </c>
      <c r="F17" s="445">
        <v>307</v>
      </c>
      <c r="G17" s="445">
        <v>321</v>
      </c>
      <c r="H17" s="445">
        <v>267</v>
      </c>
      <c r="I17" s="445">
        <v>265</v>
      </c>
      <c r="J17" s="445">
        <v>255</v>
      </c>
      <c r="K17" s="445">
        <v>207</v>
      </c>
      <c r="L17" s="445">
        <v>236</v>
      </c>
      <c r="M17" s="445">
        <v>210</v>
      </c>
      <c r="N17" s="445">
        <v>188</v>
      </c>
      <c r="O17" s="445">
        <v>171</v>
      </c>
      <c r="P17" s="445">
        <v>91</v>
      </c>
      <c r="Q17" s="445">
        <v>35</v>
      </c>
      <c r="R17" s="445">
        <v>15</v>
      </c>
      <c r="S17" s="445">
        <v>14</v>
      </c>
      <c r="T17" s="445">
        <v>3</v>
      </c>
      <c r="U17" s="445">
        <v>3</v>
      </c>
      <c r="V17" s="444" t="s">
        <v>651</v>
      </c>
      <c r="W17" s="36"/>
    </row>
    <row r="18" spans="1:23" ht="12.75" customHeight="1">
      <c r="A18" s="711" t="s">
        <v>68</v>
      </c>
      <c r="B18" s="333" t="s">
        <v>63</v>
      </c>
      <c r="C18" s="56">
        <f>SUM(C19:C20)</f>
        <v>6225</v>
      </c>
      <c r="D18" s="445">
        <f>SUM(D19:D20)</f>
        <v>414</v>
      </c>
      <c r="E18" s="445">
        <f aca="true" t="shared" si="6" ref="E18:U18">SUM(E19:E20)</f>
        <v>486</v>
      </c>
      <c r="F18" s="445">
        <f t="shared" si="6"/>
        <v>645</v>
      </c>
      <c r="G18" s="445">
        <f t="shared" si="6"/>
        <v>728</v>
      </c>
      <c r="H18" s="445">
        <f t="shared" si="6"/>
        <v>610</v>
      </c>
      <c r="I18" s="445">
        <f t="shared" si="6"/>
        <v>567</v>
      </c>
      <c r="J18" s="445">
        <f t="shared" si="6"/>
        <v>527</v>
      </c>
      <c r="K18" s="445">
        <f t="shared" si="6"/>
        <v>447</v>
      </c>
      <c r="L18" s="445">
        <f t="shared" si="6"/>
        <v>473</v>
      </c>
      <c r="M18" s="445">
        <f t="shared" si="6"/>
        <v>433</v>
      </c>
      <c r="N18" s="445">
        <f t="shared" si="6"/>
        <v>357</v>
      </c>
      <c r="O18" s="445">
        <f t="shared" si="6"/>
        <v>280</v>
      </c>
      <c r="P18" s="445">
        <f t="shared" si="6"/>
        <v>133</v>
      </c>
      <c r="Q18" s="445">
        <f t="shared" si="6"/>
        <v>62</v>
      </c>
      <c r="R18" s="445">
        <f t="shared" si="6"/>
        <v>35</v>
      </c>
      <c r="S18" s="445">
        <f t="shared" si="6"/>
        <v>17</v>
      </c>
      <c r="T18" s="445">
        <f t="shared" si="6"/>
        <v>8</v>
      </c>
      <c r="U18" s="445">
        <f t="shared" si="6"/>
        <v>3</v>
      </c>
      <c r="V18" s="444" t="s">
        <v>651</v>
      </c>
      <c r="W18" s="36"/>
    </row>
    <row r="19" spans="1:23" ht="12.75" customHeight="1">
      <c r="A19" s="712"/>
      <c r="B19" s="333" t="s">
        <v>99</v>
      </c>
      <c r="C19" s="56">
        <f>SUM(D19:V19)</f>
        <v>2949</v>
      </c>
      <c r="D19" s="445">
        <v>206</v>
      </c>
      <c r="E19" s="445">
        <v>265</v>
      </c>
      <c r="F19" s="445">
        <v>322</v>
      </c>
      <c r="G19" s="445">
        <v>379</v>
      </c>
      <c r="H19" s="445">
        <v>312</v>
      </c>
      <c r="I19" s="445">
        <v>274</v>
      </c>
      <c r="J19" s="445">
        <v>233</v>
      </c>
      <c r="K19" s="445">
        <v>189</v>
      </c>
      <c r="L19" s="445">
        <v>204</v>
      </c>
      <c r="M19" s="445">
        <v>186</v>
      </c>
      <c r="N19" s="445">
        <v>164</v>
      </c>
      <c r="O19" s="445">
        <v>125</v>
      </c>
      <c r="P19" s="445">
        <v>47</v>
      </c>
      <c r="Q19" s="445">
        <v>21</v>
      </c>
      <c r="R19" s="445">
        <v>14</v>
      </c>
      <c r="S19" s="445">
        <v>6</v>
      </c>
      <c r="T19" s="445">
        <v>1</v>
      </c>
      <c r="U19" s="445">
        <v>1</v>
      </c>
      <c r="V19" s="444" t="s">
        <v>651</v>
      </c>
      <c r="W19" s="36"/>
    </row>
    <row r="20" spans="1:22" ht="12.75" customHeight="1">
      <c r="A20" s="712"/>
      <c r="B20" s="333" t="s">
        <v>64</v>
      </c>
      <c r="C20" s="56">
        <f>SUM(D20:V20)</f>
        <v>3276</v>
      </c>
      <c r="D20" s="445">
        <v>208</v>
      </c>
      <c r="E20" s="445">
        <v>221</v>
      </c>
      <c r="F20" s="445">
        <v>323</v>
      </c>
      <c r="G20" s="445">
        <v>349</v>
      </c>
      <c r="H20" s="445">
        <v>298</v>
      </c>
      <c r="I20" s="445">
        <v>293</v>
      </c>
      <c r="J20" s="445">
        <v>294</v>
      </c>
      <c r="K20" s="445">
        <v>258</v>
      </c>
      <c r="L20" s="445">
        <v>269</v>
      </c>
      <c r="M20" s="445">
        <v>247</v>
      </c>
      <c r="N20" s="445">
        <v>193</v>
      </c>
      <c r="O20" s="445">
        <v>155</v>
      </c>
      <c r="P20" s="445">
        <v>86</v>
      </c>
      <c r="Q20" s="445">
        <v>41</v>
      </c>
      <c r="R20" s="452">
        <v>21</v>
      </c>
      <c r="S20" s="452">
        <v>11</v>
      </c>
      <c r="T20" s="452">
        <v>7</v>
      </c>
      <c r="U20" s="445">
        <v>2</v>
      </c>
      <c r="V20" s="444" t="s">
        <v>651</v>
      </c>
    </row>
    <row r="21" spans="1:22" ht="12.75" customHeight="1">
      <c r="A21" s="711" t="s">
        <v>69</v>
      </c>
      <c r="B21" s="333" t="s">
        <v>63</v>
      </c>
      <c r="C21" s="56">
        <f aca="true" t="shared" si="7" ref="C21:V21">SUM(C22:C23)</f>
        <v>3348</v>
      </c>
      <c r="D21" s="445">
        <f t="shared" si="7"/>
        <v>246</v>
      </c>
      <c r="E21" s="445">
        <f t="shared" si="7"/>
        <v>313</v>
      </c>
      <c r="F21" s="445">
        <f t="shared" si="7"/>
        <v>354</v>
      </c>
      <c r="G21" s="445">
        <f t="shared" si="7"/>
        <v>429</v>
      </c>
      <c r="H21" s="445">
        <f t="shared" si="7"/>
        <v>318</v>
      </c>
      <c r="I21" s="445">
        <f t="shared" si="7"/>
        <v>294</v>
      </c>
      <c r="J21" s="445">
        <f t="shared" si="7"/>
        <v>271</v>
      </c>
      <c r="K21" s="445">
        <f t="shared" si="7"/>
        <v>265</v>
      </c>
      <c r="L21" s="445">
        <f t="shared" si="7"/>
        <v>244</v>
      </c>
      <c r="M21" s="445">
        <f t="shared" si="7"/>
        <v>229</v>
      </c>
      <c r="N21" s="445">
        <f t="shared" si="7"/>
        <v>181</v>
      </c>
      <c r="O21" s="445">
        <f t="shared" si="7"/>
        <v>110</v>
      </c>
      <c r="P21" s="445">
        <f t="shared" si="7"/>
        <v>43</v>
      </c>
      <c r="Q21" s="445">
        <f t="shared" si="7"/>
        <v>21</v>
      </c>
      <c r="R21" s="445">
        <f t="shared" si="7"/>
        <v>20</v>
      </c>
      <c r="S21" s="445">
        <f t="shared" si="7"/>
        <v>7</v>
      </c>
      <c r="T21" s="445">
        <f>SUM(T22:T23)</f>
        <v>1</v>
      </c>
      <c r="U21" s="445">
        <f>SUM(U22:U23)</f>
        <v>1</v>
      </c>
      <c r="V21" s="445">
        <f t="shared" si="7"/>
        <v>1</v>
      </c>
    </row>
    <row r="22" spans="1:22" ht="12.75" customHeight="1">
      <c r="A22" s="712"/>
      <c r="B22" s="333" t="s">
        <v>99</v>
      </c>
      <c r="C22" s="56">
        <f>SUM(D22:V22)</f>
        <v>1577</v>
      </c>
      <c r="D22" s="445">
        <v>140</v>
      </c>
      <c r="E22" s="445">
        <v>156</v>
      </c>
      <c r="F22" s="445">
        <v>184</v>
      </c>
      <c r="G22" s="445">
        <v>203</v>
      </c>
      <c r="H22" s="445">
        <v>145</v>
      </c>
      <c r="I22" s="445">
        <v>142</v>
      </c>
      <c r="J22" s="445">
        <v>132</v>
      </c>
      <c r="K22" s="445">
        <v>116</v>
      </c>
      <c r="L22" s="445">
        <v>95</v>
      </c>
      <c r="M22" s="445">
        <v>98</v>
      </c>
      <c r="N22" s="445">
        <v>79</v>
      </c>
      <c r="O22" s="445">
        <v>45</v>
      </c>
      <c r="P22" s="445">
        <v>19</v>
      </c>
      <c r="Q22" s="445">
        <v>9</v>
      </c>
      <c r="R22" s="445">
        <v>9</v>
      </c>
      <c r="S22" s="445">
        <v>3</v>
      </c>
      <c r="T22" s="445">
        <v>1</v>
      </c>
      <c r="U22" s="444" t="s">
        <v>60</v>
      </c>
      <c r="V22" s="445">
        <v>1</v>
      </c>
    </row>
    <row r="23" spans="1:22" ht="12.75" customHeight="1">
      <c r="A23" s="712"/>
      <c r="B23" s="333" t="s">
        <v>64</v>
      </c>
      <c r="C23" s="56">
        <f>SUM(D23:V23)</f>
        <v>1771</v>
      </c>
      <c r="D23" s="445">
        <v>106</v>
      </c>
      <c r="E23" s="445">
        <v>157</v>
      </c>
      <c r="F23" s="445">
        <v>170</v>
      </c>
      <c r="G23" s="445">
        <v>226</v>
      </c>
      <c r="H23" s="445">
        <v>173</v>
      </c>
      <c r="I23" s="445">
        <v>152</v>
      </c>
      <c r="J23" s="445">
        <v>139</v>
      </c>
      <c r="K23" s="445">
        <v>149</v>
      </c>
      <c r="L23" s="445">
        <v>149</v>
      </c>
      <c r="M23" s="445">
        <v>131</v>
      </c>
      <c r="N23" s="445">
        <v>102</v>
      </c>
      <c r="O23" s="445">
        <v>65</v>
      </c>
      <c r="P23" s="445">
        <v>24</v>
      </c>
      <c r="Q23" s="445">
        <v>12</v>
      </c>
      <c r="R23" s="445">
        <v>11</v>
      </c>
      <c r="S23" s="445">
        <v>4</v>
      </c>
      <c r="T23" s="444" t="s">
        <v>60</v>
      </c>
      <c r="U23" s="445">
        <v>1</v>
      </c>
      <c r="V23" s="444" t="s">
        <v>60</v>
      </c>
    </row>
    <row r="24" spans="1:22" ht="12.75" customHeight="1">
      <c r="A24" s="711" t="s">
        <v>70</v>
      </c>
      <c r="B24" s="333" t="s">
        <v>63</v>
      </c>
      <c r="C24" s="56">
        <f>SUM(C25:C26)</f>
        <v>6956</v>
      </c>
      <c r="D24" s="445">
        <f>SUM(D25:D26)</f>
        <v>476</v>
      </c>
      <c r="E24" s="445">
        <f aca="true" t="shared" si="8" ref="E24:U24">SUM(E25:E26)</f>
        <v>615</v>
      </c>
      <c r="F24" s="445">
        <f t="shared" si="8"/>
        <v>807</v>
      </c>
      <c r="G24" s="445">
        <f t="shared" si="8"/>
        <v>885</v>
      </c>
      <c r="H24" s="445">
        <f t="shared" si="8"/>
        <v>627</v>
      </c>
      <c r="I24" s="445">
        <f t="shared" si="8"/>
        <v>550</v>
      </c>
      <c r="J24" s="445">
        <f t="shared" si="8"/>
        <v>570</v>
      </c>
      <c r="K24" s="445">
        <f t="shared" si="8"/>
        <v>502</v>
      </c>
      <c r="L24" s="445">
        <f t="shared" si="8"/>
        <v>491</v>
      </c>
      <c r="M24" s="445">
        <f t="shared" si="8"/>
        <v>454</v>
      </c>
      <c r="N24" s="445">
        <f t="shared" si="8"/>
        <v>377</v>
      </c>
      <c r="O24" s="445">
        <f t="shared" si="8"/>
        <v>251</v>
      </c>
      <c r="P24" s="445">
        <f t="shared" si="8"/>
        <v>158</v>
      </c>
      <c r="Q24" s="445">
        <f t="shared" si="8"/>
        <v>80</v>
      </c>
      <c r="R24" s="445">
        <f t="shared" si="8"/>
        <v>70</v>
      </c>
      <c r="S24" s="445">
        <f t="shared" si="8"/>
        <v>28</v>
      </c>
      <c r="T24" s="445">
        <f t="shared" si="8"/>
        <v>10</v>
      </c>
      <c r="U24" s="445">
        <f t="shared" si="8"/>
        <v>5</v>
      </c>
      <c r="V24" s="444" t="s">
        <v>60</v>
      </c>
    </row>
    <row r="25" spans="1:22" ht="12.75" customHeight="1">
      <c r="A25" s="712"/>
      <c r="B25" s="333" t="s">
        <v>99</v>
      </c>
      <c r="C25" s="56">
        <f>SUM(D25:V25)</f>
        <v>3326</v>
      </c>
      <c r="D25" s="445">
        <v>241</v>
      </c>
      <c r="E25" s="445">
        <v>315</v>
      </c>
      <c r="F25" s="445">
        <v>403</v>
      </c>
      <c r="G25" s="445">
        <v>456</v>
      </c>
      <c r="H25" s="445">
        <v>318</v>
      </c>
      <c r="I25" s="445">
        <v>278</v>
      </c>
      <c r="J25" s="445">
        <v>244</v>
      </c>
      <c r="K25" s="445">
        <v>225</v>
      </c>
      <c r="L25" s="445">
        <v>215</v>
      </c>
      <c r="M25" s="445">
        <v>206</v>
      </c>
      <c r="N25" s="445">
        <v>168</v>
      </c>
      <c r="O25" s="445">
        <v>118</v>
      </c>
      <c r="P25" s="445">
        <v>64</v>
      </c>
      <c r="Q25" s="445">
        <v>35</v>
      </c>
      <c r="R25" s="445">
        <v>26</v>
      </c>
      <c r="S25" s="445">
        <v>11</v>
      </c>
      <c r="T25" s="445">
        <v>2</v>
      </c>
      <c r="U25" s="445">
        <v>1</v>
      </c>
      <c r="V25" s="444" t="s">
        <v>60</v>
      </c>
    </row>
    <row r="26" spans="1:22" ht="12.75" customHeight="1">
      <c r="A26" s="712"/>
      <c r="B26" s="333" t="s">
        <v>64</v>
      </c>
      <c r="C26" s="56">
        <f>SUM(D26:V26)</f>
        <v>3630</v>
      </c>
      <c r="D26" s="445">
        <v>235</v>
      </c>
      <c r="E26" s="445">
        <v>300</v>
      </c>
      <c r="F26" s="445">
        <v>404</v>
      </c>
      <c r="G26" s="445">
        <v>429</v>
      </c>
      <c r="H26" s="445">
        <v>309</v>
      </c>
      <c r="I26" s="445">
        <v>272</v>
      </c>
      <c r="J26" s="445">
        <v>326</v>
      </c>
      <c r="K26" s="445">
        <v>277</v>
      </c>
      <c r="L26" s="445">
        <v>276</v>
      </c>
      <c r="M26" s="445">
        <v>248</v>
      </c>
      <c r="N26" s="445">
        <v>209</v>
      </c>
      <c r="O26" s="445">
        <v>133</v>
      </c>
      <c r="P26" s="445">
        <v>94</v>
      </c>
      <c r="Q26" s="445">
        <v>45</v>
      </c>
      <c r="R26" s="445">
        <v>44</v>
      </c>
      <c r="S26" s="445">
        <v>17</v>
      </c>
      <c r="T26" s="445">
        <v>8</v>
      </c>
      <c r="U26" s="445">
        <v>4</v>
      </c>
      <c r="V26" s="444" t="s">
        <v>60</v>
      </c>
    </row>
    <row r="27" spans="1:22" ht="12.75" customHeight="1">
      <c r="A27" s="711" t="s">
        <v>71</v>
      </c>
      <c r="B27" s="333" t="s">
        <v>63</v>
      </c>
      <c r="C27" s="56">
        <f>SUM(C28:C29)</f>
        <v>3847</v>
      </c>
      <c r="D27" s="445">
        <f>SUM(D28:D29)</f>
        <v>295</v>
      </c>
      <c r="E27" s="445">
        <f aca="true" t="shared" si="9" ref="E27:V27">SUM(E28:E29)</f>
        <v>409</v>
      </c>
      <c r="F27" s="445">
        <f t="shared" si="9"/>
        <v>431</v>
      </c>
      <c r="G27" s="445">
        <f t="shared" si="9"/>
        <v>422</v>
      </c>
      <c r="H27" s="445">
        <f t="shared" si="9"/>
        <v>288</v>
      </c>
      <c r="I27" s="445">
        <f t="shared" si="9"/>
        <v>300</v>
      </c>
      <c r="J27" s="445">
        <f t="shared" si="9"/>
        <v>397</v>
      </c>
      <c r="K27" s="445">
        <f t="shared" si="9"/>
        <v>347</v>
      </c>
      <c r="L27" s="445">
        <f t="shared" si="9"/>
        <v>321</v>
      </c>
      <c r="M27" s="445">
        <f t="shared" si="9"/>
        <v>252</v>
      </c>
      <c r="N27" s="445">
        <f t="shared" si="9"/>
        <v>201</v>
      </c>
      <c r="O27" s="445">
        <f t="shared" si="9"/>
        <v>99</v>
      </c>
      <c r="P27" s="445">
        <f t="shared" si="9"/>
        <v>56</v>
      </c>
      <c r="Q27" s="445">
        <f t="shared" si="9"/>
        <v>13</v>
      </c>
      <c r="R27" s="445">
        <f t="shared" si="9"/>
        <v>6</v>
      </c>
      <c r="S27" s="445">
        <f t="shared" si="9"/>
        <v>3</v>
      </c>
      <c r="T27" s="445">
        <f t="shared" si="9"/>
        <v>5</v>
      </c>
      <c r="U27" s="445">
        <f t="shared" si="9"/>
        <v>1</v>
      </c>
      <c r="V27" s="445">
        <f t="shared" si="9"/>
        <v>1</v>
      </c>
    </row>
    <row r="28" spans="1:22" ht="12.75" customHeight="1">
      <c r="A28" s="712"/>
      <c r="B28" s="333" t="s">
        <v>99</v>
      </c>
      <c r="C28" s="56">
        <f>SUM(D28:V28)</f>
        <v>1895</v>
      </c>
      <c r="D28" s="445">
        <v>171</v>
      </c>
      <c r="E28" s="445">
        <v>223</v>
      </c>
      <c r="F28" s="445">
        <v>241</v>
      </c>
      <c r="G28" s="445">
        <v>220</v>
      </c>
      <c r="H28" s="445">
        <v>137</v>
      </c>
      <c r="I28" s="445">
        <v>129</v>
      </c>
      <c r="J28" s="445">
        <v>177</v>
      </c>
      <c r="K28" s="445">
        <v>141</v>
      </c>
      <c r="L28" s="445">
        <v>138</v>
      </c>
      <c r="M28" s="445">
        <v>120</v>
      </c>
      <c r="N28" s="445">
        <v>100</v>
      </c>
      <c r="O28" s="445">
        <v>51</v>
      </c>
      <c r="P28" s="445">
        <v>32</v>
      </c>
      <c r="Q28" s="445">
        <v>6</v>
      </c>
      <c r="R28" s="445">
        <v>2</v>
      </c>
      <c r="S28" s="445">
        <v>3</v>
      </c>
      <c r="T28" s="445">
        <v>4</v>
      </c>
      <c r="U28" s="444" t="s">
        <v>60</v>
      </c>
      <c r="V28" s="444" t="s">
        <v>60</v>
      </c>
    </row>
    <row r="29" spans="1:22" ht="12.75" customHeight="1">
      <c r="A29" s="712"/>
      <c r="B29" s="333" t="s">
        <v>64</v>
      </c>
      <c r="C29" s="56">
        <f>SUM(D29:V29)</f>
        <v>1952</v>
      </c>
      <c r="D29" s="445">
        <v>124</v>
      </c>
      <c r="E29" s="445">
        <v>186</v>
      </c>
      <c r="F29" s="445">
        <v>190</v>
      </c>
      <c r="G29" s="445">
        <v>202</v>
      </c>
      <c r="H29" s="445">
        <v>151</v>
      </c>
      <c r="I29" s="445">
        <v>171</v>
      </c>
      <c r="J29" s="445">
        <v>220</v>
      </c>
      <c r="K29" s="445">
        <v>206</v>
      </c>
      <c r="L29" s="445">
        <v>183</v>
      </c>
      <c r="M29" s="445">
        <v>132</v>
      </c>
      <c r="N29" s="445">
        <v>101</v>
      </c>
      <c r="O29" s="445">
        <v>48</v>
      </c>
      <c r="P29" s="445">
        <v>24</v>
      </c>
      <c r="Q29" s="445">
        <v>7</v>
      </c>
      <c r="R29" s="445">
        <v>4</v>
      </c>
      <c r="S29" s="444" t="s">
        <v>60</v>
      </c>
      <c r="T29" s="445">
        <v>1</v>
      </c>
      <c r="U29" s="445">
        <v>1</v>
      </c>
      <c r="V29" s="445">
        <v>1</v>
      </c>
    </row>
    <row r="30" spans="1:22" ht="12.75" customHeight="1">
      <c r="A30" s="711" t="s">
        <v>72</v>
      </c>
      <c r="B30" s="333" t="s">
        <v>63</v>
      </c>
      <c r="C30" s="56">
        <f>SUM(C31:C32)</f>
        <v>3165</v>
      </c>
      <c r="D30" s="445">
        <f>SUM(D31:D32)</f>
        <v>242</v>
      </c>
      <c r="E30" s="445">
        <f aca="true" t="shared" si="10" ref="E30:V30">SUM(E31:E32)</f>
        <v>284</v>
      </c>
      <c r="F30" s="445">
        <f t="shared" si="10"/>
        <v>302</v>
      </c>
      <c r="G30" s="445">
        <f t="shared" si="10"/>
        <v>364</v>
      </c>
      <c r="H30" s="445">
        <f t="shared" si="10"/>
        <v>324</v>
      </c>
      <c r="I30" s="445">
        <f t="shared" si="10"/>
        <v>285</v>
      </c>
      <c r="J30" s="445">
        <f t="shared" si="10"/>
        <v>274</v>
      </c>
      <c r="K30" s="445">
        <f t="shared" si="10"/>
        <v>219</v>
      </c>
      <c r="L30" s="445">
        <f t="shared" si="10"/>
        <v>225</v>
      </c>
      <c r="M30" s="445">
        <f t="shared" si="10"/>
        <v>214</v>
      </c>
      <c r="N30" s="445">
        <f t="shared" si="10"/>
        <v>196</v>
      </c>
      <c r="O30" s="445">
        <f t="shared" si="10"/>
        <v>131</v>
      </c>
      <c r="P30" s="445">
        <f t="shared" si="10"/>
        <v>57</v>
      </c>
      <c r="Q30" s="445">
        <f t="shared" si="10"/>
        <v>25</v>
      </c>
      <c r="R30" s="445">
        <f t="shared" si="10"/>
        <v>7</v>
      </c>
      <c r="S30" s="445">
        <f t="shared" si="10"/>
        <v>11</v>
      </c>
      <c r="T30" s="445">
        <f t="shared" si="10"/>
        <v>4</v>
      </c>
      <c r="U30" s="444" t="s">
        <v>60</v>
      </c>
      <c r="V30" s="445">
        <f t="shared" si="10"/>
        <v>1</v>
      </c>
    </row>
    <row r="31" spans="1:22" ht="12.75" customHeight="1">
      <c r="A31" s="712"/>
      <c r="B31" s="333" t="s">
        <v>99</v>
      </c>
      <c r="C31" s="56">
        <f>SUM(D31:V31)</f>
        <v>1638</v>
      </c>
      <c r="D31" s="445">
        <v>121</v>
      </c>
      <c r="E31" s="445">
        <v>160</v>
      </c>
      <c r="F31" s="445">
        <v>162</v>
      </c>
      <c r="G31" s="445">
        <v>194</v>
      </c>
      <c r="H31" s="445">
        <v>170</v>
      </c>
      <c r="I31" s="445">
        <v>147</v>
      </c>
      <c r="J31" s="445">
        <v>129</v>
      </c>
      <c r="K31" s="445">
        <v>109</v>
      </c>
      <c r="L31" s="445">
        <v>106</v>
      </c>
      <c r="M31" s="445">
        <v>92</v>
      </c>
      <c r="N31" s="445">
        <v>120</v>
      </c>
      <c r="O31" s="445">
        <v>76</v>
      </c>
      <c r="P31" s="445">
        <v>28</v>
      </c>
      <c r="Q31" s="445">
        <v>15</v>
      </c>
      <c r="R31" s="445">
        <v>3</v>
      </c>
      <c r="S31" s="445">
        <v>5</v>
      </c>
      <c r="T31" s="445">
        <v>1</v>
      </c>
      <c r="U31" s="444" t="s">
        <v>60</v>
      </c>
      <c r="V31" s="444" t="s">
        <v>60</v>
      </c>
    </row>
    <row r="32" spans="1:22" ht="12.75" customHeight="1">
      <c r="A32" s="712"/>
      <c r="B32" s="333" t="s">
        <v>64</v>
      </c>
      <c r="C32" s="56">
        <f>SUM(D32:V32)</f>
        <v>1527</v>
      </c>
      <c r="D32" s="445">
        <v>121</v>
      </c>
      <c r="E32" s="445">
        <v>124</v>
      </c>
      <c r="F32" s="445">
        <v>140</v>
      </c>
      <c r="G32" s="445">
        <v>170</v>
      </c>
      <c r="H32" s="445">
        <v>154</v>
      </c>
      <c r="I32" s="445">
        <v>138</v>
      </c>
      <c r="J32" s="445">
        <v>145</v>
      </c>
      <c r="K32" s="445">
        <v>110</v>
      </c>
      <c r="L32" s="445">
        <v>119</v>
      </c>
      <c r="M32" s="445">
        <v>122</v>
      </c>
      <c r="N32" s="445">
        <v>76</v>
      </c>
      <c r="O32" s="445">
        <v>55</v>
      </c>
      <c r="P32" s="445">
        <v>29</v>
      </c>
      <c r="Q32" s="445">
        <v>10</v>
      </c>
      <c r="R32" s="445">
        <v>4</v>
      </c>
      <c r="S32" s="445">
        <v>6</v>
      </c>
      <c r="T32" s="445">
        <v>3</v>
      </c>
      <c r="U32" s="444" t="s">
        <v>60</v>
      </c>
      <c r="V32" s="445">
        <v>1</v>
      </c>
    </row>
    <row r="33" spans="1:22" ht="12.75" customHeight="1">
      <c r="A33" s="711" t="s">
        <v>73</v>
      </c>
      <c r="B33" s="333" t="s">
        <v>63</v>
      </c>
      <c r="C33" s="56">
        <f aca="true" t="shared" si="11" ref="C33:U33">SUM(C34:C35)</f>
        <v>6074</v>
      </c>
      <c r="D33" s="445">
        <f t="shared" si="11"/>
        <v>452</v>
      </c>
      <c r="E33" s="445">
        <f t="shared" si="11"/>
        <v>573</v>
      </c>
      <c r="F33" s="445">
        <f t="shared" si="11"/>
        <v>648</v>
      </c>
      <c r="G33" s="445">
        <f t="shared" si="11"/>
        <v>711</v>
      </c>
      <c r="H33" s="445">
        <f t="shared" si="11"/>
        <v>542</v>
      </c>
      <c r="I33" s="445">
        <f t="shared" si="11"/>
        <v>549</v>
      </c>
      <c r="J33" s="445">
        <f t="shared" si="11"/>
        <v>504</v>
      </c>
      <c r="K33" s="445">
        <f t="shared" si="11"/>
        <v>484</v>
      </c>
      <c r="L33" s="445">
        <f t="shared" si="11"/>
        <v>421</v>
      </c>
      <c r="M33" s="445">
        <f t="shared" si="11"/>
        <v>407</v>
      </c>
      <c r="N33" s="445">
        <f t="shared" si="11"/>
        <v>323</v>
      </c>
      <c r="O33" s="445">
        <f t="shared" si="11"/>
        <v>219</v>
      </c>
      <c r="P33" s="445">
        <f t="shared" si="11"/>
        <v>121</v>
      </c>
      <c r="Q33" s="445">
        <f t="shared" si="11"/>
        <v>57</v>
      </c>
      <c r="R33" s="445">
        <f t="shared" si="11"/>
        <v>37</v>
      </c>
      <c r="S33" s="445">
        <f t="shared" si="11"/>
        <v>16</v>
      </c>
      <c r="T33" s="445">
        <f t="shared" si="11"/>
        <v>9</v>
      </c>
      <c r="U33" s="445">
        <f t="shared" si="11"/>
        <v>1</v>
      </c>
      <c r="V33" s="444" t="s">
        <v>60</v>
      </c>
    </row>
    <row r="34" spans="1:22" ht="12.75" customHeight="1">
      <c r="A34" s="712"/>
      <c r="B34" s="333" t="s">
        <v>99</v>
      </c>
      <c r="C34" s="56">
        <f>SUM(D34:V34)</f>
        <v>2945</v>
      </c>
      <c r="D34" s="445">
        <v>234</v>
      </c>
      <c r="E34" s="445">
        <v>293</v>
      </c>
      <c r="F34" s="445">
        <v>324</v>
      </c>
      <c r="G34" s="445">
        <v>376</v>
      </c>
      <c r="H34" s="445">
        <v>282</v>
      </c>
      <c r="I34" s="445">
        <v>260</v>
      </c>
      <c r="J34" s="445">
        <v>239</v>
      </c>
      <c r="K34" s="445">
        <v>207</v>
      </c>
      <c r="L34" s="445">
        <v>196</v>
      </c>
      <c r="M34" s="445">
        <v>168</v>
      </c>
      <c r="N34" s="445">
        <v>167</v>
      </c>
      <c r="O34" s="445">
        <v>93</v>
      </c>
      <c r="P34" s="445">
        <v>51</v>
      </c>
      <c r="Q34" s="445">
        <v>27</v>
      </c>
      <c r="R34" s="445">
        <v>18</v>
      </c>
      <c r="S34" s="445">
        <v>6</v>
      </c>
      <c r="T34" s="445">
        <v>4</v>
      </c>
      <c r="U34" s="444" t="s">
        <v>60</v>
      </c>
      <c r="V34" s="444" t="s">
        <v>60</v>
      </c>
    </row>
    <row r="35" spans="1:22" ht="12.75" customHeight="1">
      <c r="A35" s="712"/>
      <c r="B35" s="333" t="s">
        <v>64</v>
      </c>
      <c r="C35" s="56">
        <f>SUM(D35:V35)</f>
        <v>3129</v>
      </c>
      <c r="D35" s="445">
        <v>218</v>
      </c>
      <c r="E35" s="445">
        <v>280</v>
      </c>
      <c r="F35" s="445">
        <v>324</v>
      </c>
      <c r="G35" s="445">
        <v>335</v>
      </c>
      <c r="H35" s="445">
        <v>260</v>
      </c>
      <c r="I35" s="445">
        <v>289</v>
      </c>
      <c r="J35" s="445">
        <v>265</v>
      </c>
      <c r="K35" s="445">
        <v>277</v>
      </c>
      <c r="L35" s="445">
        <v>225</v>
      </c>
      <c r="M35" s="445">
        <v>239</v>
      </c>
      <c r="N35" s="445">
        <v>156</v>
      </c>
      <c r="O35" s="445">
        <v>126</v>
      </c>
      <c r="P35" s="445">
        <v>70</v>
      </c>
      <c r="Q35" s="445">
        <v>30</v>
      </c>
      <c r="R35" s="445">
        <v>19</v>
      </c>
      <c r="S35" s="445">
        <v>10</v>
      </c>
      <c r="T35" s="445">
        <v>5</v>
      </c>
      <c r="U35" s="445">
        <v>1</v>
      </c>
      <c r="V35" s="444" t="s">
        <v>60</v>
      </c>
    </row>
    <row r="36" spans="1:22" ht="12.75" customHeight="1">
      <c r="A36" s="711" t="s">
        <v>74</v>
      </c>
      <c r="B36" s="333" t="s">
        <v>63</v>
      </c>
      <c r="C36" s="56">
        <f aca="true" t="shared" si="12" ref="C36:V36">SUM(C37:C38)</f>
        <v>3372</v>
      </c>
      <c r="D36" s="445">
        <f t="shared" si="12"/>
        <v>243</v>
      </c>
      <c r="E36" s="445">
        <f t="shared" si="12"/>
        <v>304</v>
      </c>
      <c r="F36" s="445">
        <f t="shared" si="12"/>
        <v>322</v>
      </c>
      <c r="G36" s="445">
        <f t="shared" si="12"/>
        <v>414</v>
      </c>
      <c r="H36" s="445">
        <f t="shared" si="12"/>
        <v>362</v>
      </c>
      <c r="I36" s="445">
        <f t="shared" si="12"/>
        <v>297</v>
      </c>
      <c r="J36" s="445">
        <f t="shared" si="12"/>
        <v>258</v>
      </c>
      <c r="K36" s="445">
        <f t="shared" si="12"/>
        <v>212</v>
      </c>
      <c r="L36" s="445">
        <f t="shared" si="12"/>
        <v>230</v>
      </c>
      <c r="M36" s="445">
        <f t="shared" si="12"/>
        <v>243</v>
      </c>
      <c r="N36" s="445">
        <f t="shared" si="12"/>
        <v>191</v>
      </c>
      <c r="O36" s="445">
        <f t="shared" si="12"/>
        <v>157</v>
      </c>
      <c r="P36" s="445">
        <f t="shared" si="12"/>
        <v>70</v>
      </c>
      <c r="Q36" s="445">
        <f t="shared" si="12"/>
        <v>29</v>
      </c>
      <c r="R36" s="445">
        <f t="shared" si="12"/>
        <v>21</v>
      </c>
      <c r="S36" s="445">
        <f t="shared" si="12"/>
        <v>13</v>
      </c>
      <c r="T36" s="445">
        <f t="shared" si="12"/>
        <v>5</v>
      </c>
      <c r="U36" s="444" t="s">
        <v>60</v>
      </c>
      <c r="V36" s="445">
        <f t="shared" si="12"/>
        <v>1</v>
      </c>
    </row>
    <row r="37" spans="1:22" ht="12.75" customHeight="1">
      <c r="A37" s="712"/>
      <c r="B37" s="333" t="s">
        <v>99</v>
      </c>
      <c r="C37" s="56">
        <f>SUM(D37:V37)</f>
        <v>1592</v>
      </c>
      <c r="D37" s="445">
        <v>136</v>
      </c>
      <c r="E37" s="445">
        <v>180</v>
      </c>
      <c r="F37" s="445">
        <v>170</v>
      </c>
      <c r="G37" s="445">
        <v>212</v>
      </c>
      <c r="H37" s="445">
        <v>165</v>
      </c>
      <c r="I37" s="445">
        <v>135</v>
      </c>
      <c r="J37" s="445">
        <v>131</v>
      </c>
      <c r="K37" s="445">
        <v>91</v>
      </c>
      <c r="L37" s="445">
        <v>97</v>
      </c>
      <c r="M37" s="445">
        <v>99</v>
      </c>
      <c r="N37" s="445">
        <v>86</v>
      </c>
      <c r="O37" s="445">
        <v>55</v>
      </c>
      <c r="P37" s="445">
        <v>17</v>
      </c>
      <c r="Q37" s="445">
        <v>7</v>
      </c>
      <c r="R37" s="445">
        <v>5</v>
      </c>
      <c r="S37" s="445">
        <v>3</v>
      </c>
      <c r="T37" s="445">
        <v>2</v>
      </c>
      <c r="U37" s="444" t="s">
        <v>60</v>
      </c>
      <c r="V37" s="445">
        <v>1</v>
      </c>
    </row>
    <row r="38" spans="1:22" ht="12.75" customHeight="1">
      <c r="A38" s="712"/>
      <c r="B38" s="333" t="s">
        <v>64</v>
      </c>
      <c r="C38" s="56">
        <f>SUM(D38:V38)</f>
        <v>1780</v>
      </c>
      <c r="D38" s="445">
        <v>107</v>
      </c>
      <c r="E38" s="445">
        <v>124</v>
      </c>
      <c r="F38" s="445">
        <v>152</v>
      </c>
      <c r="G38" s="445">
        <v>202</v>
      </c>
      <c r="H38" s="445">
        <v>197</v>
      </c>
      <c r="I38" s="445">
        <v>162</v>
      </c>
      <c r="J38" s="445">
        <v>127</v>
      </c>
      <c r="K38" s="445">
        <v>121</v>
      </c>
      <c r="L38" s="445">
        <v>133</v>
      </c>
      <c r="M38" s="445">
        <v>144</v>
      </c>
      <c r="N38" s="445">
        <v>105</v>
      </c>
      <c r="O38" s="445">
        <v>102</v>
      </c>
      <c r="P38" s="445">
        <v>53</v>
      </c>
      <c r="Q38" s="445">
        <v>22</v>
      </c>
      <c r="R38" s="445">
        <v>16</v>
      </c>
      <c r="S38" s="445">
        <v>10</v>
      </c>
      <c r="T38" s="445">
        <v>3</v>
      </c>
      <c r="U38" s="444" t="s">
        <v>60</v>
      </c>
      <c r="V38" s="444" t="s">
        <v>649</v>
      </c>
    </row>
    <row r="39" spans="1:22" ht="12.75" customHeight="1">
      <c r="A39" s="711" t="s">
        <v>75</v>
      </c>
      <c r="B39" s="333" t="s">
        <v>63</v>
      </c>
      <c r="C39" s="56">
        <f aca="true" t="shared" si="13" ref="C39:R39">SUM(C40:C41)</f>
        <v>594</v>
      </c>
      <c r="D39" s="445">
        <f t="shared" si="13"/>
        <v>37</v>
      </c>
      <c r="E39" s="445">
        <f t="shared" si="13"/>
        <v>66</v>
      </c>
      <c r="F39" s="445">
        <f t="shared" si="13"/>
        <v>64</v>
      </c>
      <c r="G39" s="445">
        <f t="shared" si="13"/>
        <v>84</v>
      </c>
      <c r="H39" s="445">
        <f t="shared" si="13"/>
        <v>40</v>
      </c>
      <c r="I39" s="445">
        <f t="shared" si="13"/>
        <v>53</v>
      </c>
      <c r="J39" s="445">
        <f t="shared" si="13"/>
        <v>49</v>
      </c>
      <c r="K39" s="445">
        <f t="shared" si="13"/>
        <v>47</v>
      </c>
      <c r="L39" s="445">
        <f t="shared" si="13"/>
        <v>46</v>
      </c>
      <c r="M39" s="445">
        <f t="shared" si="13"/>
        <v>41</v>
      </c>
      <c r="N39" s="445">
        <f t="shared" si="13"/>
        <v>33</v>
      </c>
      <c r="O39" s="445">
        <f t="shared" si="13"/>
        <v>22</v>
      </c>
      <c r="P39" s="445">
        <f t="shared" si="13"/>
        <v>10</v>
      </c>
      <c r="Q39" s="444" t="s">
        <v>60</v>
      </c>
      <c r="R39" s="445">
        <f t="shared" si="13"/>
        <v>2</v>
      </c>
      <c r="S39" s="444" t="s">
        <v>60</v>
      </c>
      <c r="T39" s="444" t="s">
        <v>60</v>
      </c>
      <c r="U39" s="444" t="s">
        <v>60</v>
      </c>
      <c r="V39" s="444" t="s">
        <v>649</v>
      </c>
    </row>
    <row r="40" spans="1:22" ht="12.75" customHeight="1">
      <c r="A40" s="712"/>
      <c r="B40" s="333" t="s">
        <v>99</v>
      </c>
      <c r="C40" s="56">
        <f>SUM(D40:V40)</f>
        <v>276</v>
      </c>
      <c r="D40" s="445">
        <v>16</v>
      </c>
      <c r="E40" s="445">
        <v>32</v>
      </c>
      <c r="F40" s="445">
        <v>30</v>
      </c>
      <c r="G40" s="445">
        <v>54</v>
      </c>
      <c r="H40" s="445">
        <v>17</v>
      </c>
      <c r="I40" s="445">
        <v>25</v>
      </c>
      <c r="J40" s="445">
        <v>19</v>
      </c>
      <c r="K40" s="445">
        <v>16</v>
      </c>
      <c r="L40" s="445">
        <v>24</v>
      </c>
      <c r="M40" s="445">
        <v>18</v>
      </c>
      <c r="N40" s="445">
        <v>16</v>
      </c>
      <c r="O40" s="445">
        <v>3</v>
      </c>
      <c r="P40" s="445">
        <v>6</v>
      </c>
      <c r="Q40" s="444" t="s">
        <v>60</v>
      </c>
      <c r="R40" s="444" t="s">
        <v>60</v>
      </c>
      <c r="S40" s="444" t="s">
        <v>60</v>
      </c>
      <c r="T40" s="444" t="s">
        <v>60</v>
      </c>
      <c r="U40" s="444" t="s">
        <v>60</v>
      </c>
      <c r="V40" s="444" t="s">
        <v>649</v>
      </c>
    </row>
    <row r="41" spans="1:22" ht="12.75" customHeight="1">
      <c r="A41" s="712"/>
      <c r="B41" s="333" t="s">
        <v>64</v>
      </c>
      <c r="C41" s="56">
        <f>SUM(D41:V41)</f>
        <v>318</v>
      </c>
      <c r="D41" s="445">
        <v>21</v>
      </c>
      <c r="E41" s="445">
        <v>34</v>
      </c>
      <c r="F41" s="445">
        <v>34</v>
      </c>
      <c r="G41" s="445">
        <v>30</v>
      </c>
      <c r="H41" s="445">
        <v>23</v>
      </c>
      <c r="I41" s="445">
        <v>28</v>
      </c>
      <c r="J41" s="445">
        <v>30</v>
      </c>
      <c r="K41" s="445">
        <v>31</v>
      </c>
      <c r="L41" s="445">
        <v>22</v>
      </c>
      <c r="M41" s="445">
        <v>23</v>
      </c>
      <c r="N41" s="445">
        <v>17</v>
      </c>
      <c r="O41" s="445">
        <v>19</v>
      </c>
      <c r="P41" s="445">
        <v>4</v>
      </c>
      <c r="Q41" s="444" t="s">
        <v>60</v>
      </c>
      <c r="R41" s="445">
        <v>2</v>
      </c>
      <c r="S41" s="444" t="s">
        <v>60</v>
      </c>
      <c r="T41" s="444" t="s">
        <v>60</v>
      </c>
      <c r="U41" s="444" t="s">
        <v>60</v>
      </c>
      <c r="V41" s="444" t="s">
        <v>649</v>
      </c>
    </row>
    <row r="42" spans="1:22" ht="12.75" customHeight="1">
      <c r="A42" s="711" t="s">
        <v>76</v>
      </c>
      <c r="B42" s="333" t="s">
        <v>63</v>
      </c>
      <c r="C42" s="56">
        <f aca="true" t="shared" si="14" ref="C42:U42">SUM(C43:C44)</f>
        <v>1175</v>
      </c>
      <c r="D42" s="445">
        <f t="shared" si="14"/>
        <v>86</v>
      </c>
      <c r="E42" s="445">
        <f t="shared" si="14"/>
        <v>122</v>
      </c>
      <c r="F42" s="445">
        <f t="shared" si="14"/>
        <v>137</v>
      </c>
      <c r="G42" s="445">
        <f t="shared" si="14"/>
        <v>152</v>
      </c>
      <c r="H42" s="445">
        <f t="shared" si="14"/>
        <v>109</v>
      </c>
      <c r="I42" s="445">
        <f t="shared" si="14"/>
        <v>89</v>
      </c>
      <c r="J42" s="445">
        <f t="shared" si="14"/>
        <v>104</v>
      </c>
      <c r="K42" s="445">
        <f t="shared" si="14"/>
        <v>92</v>
      </c>
      <c r="L42" s="445">
        <f t="shared" si="14"/>
        <v>105</v>
      </c>
      <c r="M42" s="445">
        <f t="shared" si="14"/>
        <v>84</v>
      </c>
      <c r="N42" s="445">
        <f>SUM(N43:N44)</f>
        <v>49</v>
      </c>
      <c r="O42" s="445">
        <f t="shared" si="14"/>
        <v>27</v>
      </c>
      <c r="P42" s="445">
        <f t="shared" si="14"/>
        <v>14</v>
      </c>
      <c r="Q42" s="445">
        <v>1</v>
      </c>
      <c r="R42" s="445">
        <f t="shared" si="14"/>
        <v>2</v>
      </c>
      <c r="S42" s="444" t="s">
        <v>60</v>
      </c>
      <c r="T42" s="444" t="s">
        <v>60</v>
      </c>
      <c r="U42" s="445">
        <f t="shared" si="14"/>
        <v>1</v>
      </c>
      <c r="V42" s="444" t="s">
        <v>649</v>
      </c>
    </row>
    <row r="43" spans="1:22" ht="12.75" customHeight="1">
      <c r="A43" s="712"/>
      <c r="B43" s="333" t="s">
        <v>99</v>
      </c>
      <c r="C43" s="56">
        <f>SUM(D43:V43)</f>
        <v>572</v>
      </c>
      <c r="D43" s="445">
        <v>46</v>
      </c>
      <c r="E43" s="445">
        <v>60</v>
      </c>
      <c r="F43" s="445">
        <v>63</v>
      </c>
      <c r="G43" s="445">
        <v>87</v>
      </c>
      <c r="H43" s="445">
        <v>57</v>
      </c>
      <c r="I43" s="445">
        <v>38</v>
      </c>
      <c r="J43" s="445">
        <v>44</v>
      </c>
      <c r="K43" s="445">
        <v>42</v>
      </c>
      <c r="L43" s="445">
        <v>52</v>
      </c>
      <c r="M43" s="445">
        <v>40</v>
      </c>
      <c r="N43" s="445">
        <v>28</v>
      </c>
      <c r="O43" s="445">
        <v>9</v>
      </c>
      <c r="P43" s="445">
        <v>4</v>
      </c>
      <c r="Q43" s="445">
        <v>2</v>
      </c>
      <c r="R43" s="444" t="s">
        <v>60</v>
      </c>
      <c r="S43" s="444" t="s">
        <v>60</v>
      </c>
      <c r="T43" s="444" t="s">
        <v>60</v>
      </c>
      <c r="U43" s="444" t="s">
        <v>649</v>
      </c>
      <c r="V43" s="444" t="s">
        <v>649</v>
      </c>
    </row>
    <row r="44" spans="1:22" ht="12.75" customHeight="1">
      <c r="A44" s="712"/>
      <c r="B44" s="333" t="s">
        <v>64</v>
      </c>
      <c r="C44" s="56">
        <f>SUM(D44:V44)</f>
        <v>603</v>
      </c>
      <c r="D44" s="445">
        <v>40</v>
      </c>
      <c r="E44" s="445">
        <v>62</v>
      </c>
      <c r="F44" s="445">
        <v>74</v>
      </c>
      <c r="G44" s="445">
        <v>65</v>
      </c>
      <c r="H44" s="445">
        <v>52</v>
      </c>
      <c r="I44" s="445">
        <v>51</v>
      </c>
      <c r="J44" s="445">
        <v>60</v>
      </c>
      <c r="K44" s="445">
        <v>50</v>
      </c>
      <c r="L44" s="445">
        <v>53</v>
      </c>
      <c r="M44" s="445">
        <v>44</v>
      </c>
      <c r="N44" s="445">
        <v>21</v>
      </c>
      <c r="O44" s="445">
        <v>18</v>
      </c>
      <c r="P44" s="445">
        <v>10</v>
      </c>
      <c r="Q44" s="444" t="s">
        <v>60</v>
      </c>
      <c r="R44" s="445">
        <v>2</v>
      </c>
      <c r="S44" s="444" t="s">
        <v>60</v>
      </c>
      <c r="T44" s="444" t="s">
        <v>60</v>
      </c>
      <c r="U44" s="445">
        <v>1</v>
      </c>
      <c r="V44" s="444" t="s">
        <v>649</v>
      </c>
    </row>
    <row r="45" spans="1:22" ht="12.75" customHeight="1">
      <c r="A45" s="711" t="s">
        <v>77</v>
      </c>
      <c r="B45" s="333" t="s">
        <v>63</v>
      </c>
      <c r="C45" s="56">
        <f aca="true" t="shared" si="15" ref="C45:V45">SUM(C46:C47)</f>
        <v>7551</v>
      </c>
      <c r="D45" s="445">
        <f t="shared" si="15"/>
        <v>565</v>
      </c>
      <c r="E45" s="445">
        <f t="shared" si="15"/>
        <v>505</v>
      </c>
      <c r="F45" s="445">
        <f t="shared" si="15"/>
        <v>465</v>
      </c>
      <c r="G45" s="445">
        <f t="shared" si="15"/>
        <v>607</v>
      </c>
      <c r="H45" s="445">
        <f t="shared" si="15"/>
        <v>596</v>
      </c>
      <c r="I45" s="445">
        <f t="shared" si="15"/>
        <v>587</v>
      </c>
      <c r="J45" s="445">
        <f t="shared" si="15"/>
        <v>657</v>
      </c>
      <c r="K45" s="445">
        <f t="shared" si="15"/>
        <v>597</v>
      </c>
      <c r="L45" s="445">
        <f t="shared" si="15"/>
        <v>593</v>
      </c>
      <c r="M45" s="445">
        <f t="shared" si="15"/>
        <v>544</v>
      </c>
      <c r="N45" s="445">
        <f t="shared" si="15"/>
        <v>533</v>
      </c>
      <c r="O45" s="445">
        <f t="shared" si="15"/>
        <v>449</v>
      </c>
      <c r="P45" s="445">
        <f t="shared" si="15"/>
        <v>306</v>
      </c>
      <c r="Q45" s="445">
        <f t="shared" si="15"/>
        <v>165</v>
      </c>
      <c r="R45" s="445">
        <f t="shared" si="15"/>
        <v>155</v>
      </c>
      <c r="S45" s="445">
        <f t="shared" si="15"/>
        <v>139</v>
      </c>
      <c r="T45" s="445">
        <f t="shared" si="15"/>
        <v>63</v>
      </c>
      <c r="U45" s="445">
        <f t="shared" si="15"/>
        <v>18</v>
      </c>
      <c r="V45" s="445">
        <f t="shared" si="15"/>
        <v>7</v>
      </c>
    </row>
    <row r="46" spans="1:22" ht="12.75" customHeight="1">
      <c r="A46" s="712"/>
      <c r="B46" s="333" t="s">
        <v>99</v>
      </c>
      <c r="C46" s="56">
        <f>SUM(D46:V46)</f>
        <v>4197</v>
      </c>
      <c r="D46" s="445">
        <v>298</v>
      </c>
      <c r="E46" s="445">
        <v>254</v>
      </c>
      <c r="F46" s="445">
        <v>243</v>
      </c>
      <c r="G46" s="445">
        <v>303</v>
      </c>
      <c r="H46" s="445">
        <v>319</v>
      </c>
      <c r="I46" s="445">
        <v>348</v>
      </c>
      <c r="J46" s="445">
        <v>399</v>
      </c>
      <c r="K46" s="445">
        <v>352</v>
      </c>
      <c r="L46" s="445">
        <v>385</v>
      </c>
      <c r="M46" s="445">
        <v>320</v>
      </c>
      <c r="N46" s="445">
        <v>323</v>
      </c>
      <c r="O46" s="445">
        <v>245</v>
      </c>
      <c r="P46" s="445">
        <v>151</v>
      </c>
      <c r="Q46" s="445">
        <v>88</v>
      </c>
      <c r="R46" s="445">
        <v>77</v>
      </c>
      <c r="S46" s="445">
        <v>61</v>
      </c>
      <c r="T46" s="445">
        <v>22</v>
      </c>
      <c r="U46" s="445">
        <v>6</v>
      </c>
      <c r="V46" s="445">
        <v>3</v>
      </c>
    </row>
    <row r="47" spans="1:22" ht="12.75" customHeight="1">
      <c r="A47" s="712"/>
      <c r="B47" s="333" t="s">
        <v>64</v>
      </c>
      <c r="C47" s="56">
        <f>SUM(D47:V47)</f>
        <v>3354</v>
      </c>
      <c r="D47" s="445">
        <v>267</v>
      </c>
      <c r="E47" s="445">
        <v>251</v>
      </c>
      <c r="F47" s="445">
        <v>222</v>
      </c>
      <c r="G47" s="445">
        <v>304</v>
      </c>
      <c r="H47" s="445">
        <v>277</v>
      </c>
      <c r="I47" s="445">
        <v>239</v>
      </c>
      <c r="J47" s="445">
        <v>258</v>
      </c>
      <c r="K47" s="445">
        <v>245</v>
      </c>
      <c r="L47" s="445">
        <v>208</v>
      </c>
      <c r="M47" s="445">
        <v>224</v>
      </c>
      <c r="N47" s="445">
        <v>210</v>
      </c>
      <c r="O47" s="445">
        <v>204</v>
      </c>
      <c r="P47" s="445">
        <v>155</v>
      </c>
      <c r="Q47" s="445">
        <v>77</v>
      </c>
      <c r="R47" s="445">
        <v>78</v>
      </c>
      <c r="S47" s="445">
        <v>78</v>
      </c>
      <c r="T47" s="445">
        <v>41</v>
      </c>
      <c r="U47" s="445">
        <v>12</v>
      </c>
      <c r="V47" s="445">
        <v>4</v>
      </c>
    </row>
    <row r="48" spans="1:22" ht="1.5" customHeight="1" thickBot="1">
      <c r="A48" s="93"/>
      <c r="B48" s="334"/>
      <c r="C48" s="494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108"/>
      <c r="S48" s="108"/>
      <c r="T48" s="108"/>
      <c r="U48" s="108"/>
      <c r="V48" s="108"/>
    </row>
  </sheetData>
  <mergeCells count="16">
    <mergeCell ref="A45:A47"/>
    <mergeCell ref="A9:A11"/>
    <mergeCell ref="A12:A14"/>
    <mergeCell ref="A15:A17"/>
    <mergeCell ref="A18:A20"/>
    <mergeCell ref="A30:A32"/>
    <mergeCell ref="A33:A35"/>
    <mergeCell ref="A36:A38"/>
    <mergeCell ref="A39:A41"/>
    <mergeCell ref="A42:A44"/>
    <mergeCell ref="A27:A29"/>
    <mergeCell ref="A6:A8"/>
    <mergeCell ref="A2:J2"/>
    <mergeCell ref="K2:V2"/>
    <mergeCell ref="A24:A26"/>
    <mergeCell ref="A21:A23"/>
  </mergeCells>
  <printOptions horizontalCentered="1"/>
  <pageMargins left="1.1811023622047245" right="1.1811023622047245" top="1.5748031496062993" bottom="1.5748031496062993" header="0.5118110236220472" footer="0.9055118110236221"/>
  <pageSetup firstPageNumber="5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130" zoomScaleNormal="130" zoomScaleSheetLayoutView="100" workbookViewId="0" topLeftCell="A1">
      <selection activeCell="C5" sqref="C5:C6"/>
    </sheetView>
  </sheetViews>
  <sheetFormatPr defaultColWidth="9.00390625" defaultRowHeight="16.5"/>
  <cols>
    <col min="1" max="1" width="8.625" style="352" customWidth="1"/>
    <col min="2" max="2" width="4.875" style="352" customWidth="1"/>
    <col min="3" max="3" width="13.875" style="352" customWidth="1"/>
    <col min="4" max="4" width="5.625" style="394" customWidth="1"/>
    <col min="5" max="5" width="4.875" style="394" customWidth="1"/>
    <col min="6" max="6" width="5.125" style="394" customWidth="1"/>
    <col min="7" max="7" width="4.625" style="394" customWidth="1"/>
    <col min="8" max="8" width="5.125" style="394" customWidth="1"/>
    <col min="9" max="9" width="4.625" style="394" customWidth="1"/>
    <col min="10" max="10" width="5.125" style="394" customWidth="1"/>
    <col min="11" max="11" width="4.625" style="394" customWidth="1"/>
    <col min="12" max="12" width="5.125" style="394" customWidth="1"/>
    <col min="13" max="13" width="4.625" style="394" customWidth="1"/>
    <col min="14" max="14" width="7.125" style="394" customWidth="1"/>
    <col min="15" max="15" width="6.25390625" style="394" customWidth="1"/>
    <col min="16" max="16" width="5.25390625" style="394" customWidth="1"/>
    <col min="17" max="17" width="6.25390625" style="394" customWidth="1"/>
    <col min="18" max="18" width="5.25390625" style="394" customWidth="1"/>
    <col min="19" max="19" width="6.25390625" style="394" customWidth="1"/>
    <col min="20" max="20" width="5.25390625" style="394" customWidth="1"/>
    <col min="21" max="21" width="6.25390625" style="394" customWidth="1"/>
    <col min="22" max="22" width="5.25390625" style="394" customWidth="1"/>
    <col min="23" max="23" width="6.25390625" style="394" customWidth="1"/>
    <col min="24" max="24" width="5.25390625" style="394" customWidth="1"/>
    <col min="25" max="25" width="6.625" style="394" customWidth="1"/>
    <col min="26" max="26" width="5.625" style="394" customWidth="1"/>
    <col min="27" max="16384" width="9.00390625" style="394" customWidth="1"/>
  </cols>
  <sheetData>
    <row r="1" spans="1:26" s="337" customFormat="1" ht="18" customHeight="1">
      <c r="A1" s="118" t="s">
        <v>131</v>
      </c>
      <c r="B1" s="335"/>
      <c r="C1" s="335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Z1" s="338" t="s">
        <v>142</v>
      </c>
    </row>
    <row r="2" spans="1:26" s="401" customFormat="1" ht="24" customHeight="1">
      <c r="A2" s="733" t="s">
        <v>570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2" t="s">
        <v>571</v>
      </c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</row>
    <row r="3" spans="1:26" s="353" customFormat="1" ht="15.75" customHeight="1" thickBot="1">
      <c r="A3" s="361"/>
      <c r="B3" s="361"/>
      <c r="C3" s="362"/>
      <c r="D3" s="363"/>
      <c r="E3" s="364"/>
      <c r="I3" s="365"/>
      <c r="L3" s="367"/>
      <c r="M3" s="366" t="s">
        <v>573</v>
      </c>
      <c r="N3" s="368"/>
      <c r="O3" s="368"/>
      <c r="P3" s="369"/>
      <c r="Q3" s="370"/>
      <c r="R3" s="371"/>
      <c r="V3" s="369"/>
      <c r="W3" s="372"/>
      <c r="X3" s="372"/>
      <c r="Y3" s="372"/>
      <c r="Z3" s="373" t="s">
        <v>574</v>
      </c>
    </row>
    <row r="4" spans="1:26" s="278" customFormat="1" ht="15" customHeight="1">
      <c r="A4" s="341"/>
      <c r="B4" s="342"/>
      <c r="C4" s="343"/>
      <c r="D4" s="344"/>
      <c r="E4" s="634" t="s">
        <v>198</v>
      </c>
      <c r="F4" s="635"/>
      <c r="G4" s="635"/>
      <c r="H4" s="635"/>
      <c r="I4" s="635"/>
      <c r="J4" s="635"/>
      <c r="K4" s="635"/>
      <c r="L4" s="635"/>
      <c r="M4" s="635"/>
      <c r="N4" s="245"/>
      <c r="O4" s="246"/>
      <c r="P4" s="247"/>
      <c r="Q4" s="247"/>
      <c r="R4" s="247"/>
      <c r="S4" s="617" t="s">
        <v>482</v>
      </c>
      <c r="T4" s="617"/>
      <c r="U4" s="247"/>
      <c r="V4" s="355"/>
      <c r="W4" s="249"/>
      <c r="X4" s="248"/>
      <c r="Y4" s="250"/>
      <c r="Z4" s="638" t="s">
        <v>199</v>
      </c>
    </row>
    <row r="5" spans="1:26" s="278" customFormat="1" ht="15" customHeight="1">
      <c r="A5" s="724" t="s">
        <v>495</v>
      </c>
      <c r="B5" s="381"/>
      <c r="C5" s="726" t="s">
        <v>572</v>
      </c>
      <c r="D5" s="728" t="s">
        <v>210</v>
      </c>
      <c r="E5" s="630" t="s">
        <v>582</v>
      </c>
      <c r="F5" s="622" t="s">
        <v>484</v>
      </c>
      <c r="G5" s="642"/>
      <c r="H5" s="622" t="s">
        <v>485</v>
      </c>
      <c r="I5" s="642"/>
      <c r="J5" s="249"/>
      <c r="K5" s="374" t="s">
        <v>486</v>
      </c>
      <c r="L5" s="249"/>
      <c r="M5" s="252" t="s">
        <v>487</v>
      </c>
      <c r="N5" s="253"/>
      <c r="O5" s="622" t="s">
        <v>773</v>
      </c>
      <c r="P5" s="642"/>
      <c r="Q5" s="622" t="s">
        <v>489</v>
      </c>
      <c r="R5" s="642"/>
      <c r="S5" s="622" t="s">
        <v>772</v>
      </c>
      <c r="T5" s="642"/>
      <c r="U5" s="622" t="s">
        <v>491</v>
      </c>
      <c r="V5" s="642"/>
      <c r="W5" s="622" t="s">
        <v>477</v>
      </c>
      <c r="X5" s="642"/>
      <c r="Y5" s="618" t="s">
        <v>202</v>
      </c>
      <c r="Z5" s="723"/>
    </row>
    <row r="6" spans="1:26" s="278" customFormat="1" ht="24" customHeight="1">
      <c r="A6" s="725"/>
      <c r="B6" s="382" t="s">
        <v>200</v>
      </c>
      <c r="C6" s="727"/>
      <c r="D6" s="729"/>
      <c r="E6" s="723"/>
      <c r="F6" s="730"/>
      <c r="G6" s="731"/>
      <c r="H6" s="730"/>
      <c r="I6" s="731"/>
      <c r="J6" s="620" t="s">
        <v>492</v>
      </c>
      <c r="K6" s="621"/>
      <c r="L6" s="255" t="s">
        <v>203</v>
      </c>
      <c r="M6" s="249"/>
      <c r="N6" s="256" t="s">
        <v>125</v>
      </c>
      <c r="O6" s="730"/>
      <c r="P6" s="731"/>
      <c r="Q6" s="730"/>
      <c r="R6" s="731"/>
      <c r="S6" s="730"/>
      <c r="T6" s="731"/>
      <c r="U6" s="730"/>
      <c r="V6" s="731"/>
      <c r="W6" s="730"/>
      <c r="X6" s="731"/>
      <c r="Y6" s="619"/>
      <c r="Z6" s="723"/>
    </row>
    <row r="7" spans="1:26" s="278" customFormat="1" ht="24" customHeight="1">
      <c r="A7" s="655" t="s">
        <v>563</v>
      </c>
      <c r="B7" s="381" t="s">
        <v>474</v>
      </c>
      <c r="C7" s="734" t="s">
        <v>564</v>
      </c>
      <c r="D7" s="719" t="s">
        <v>207</v>
      </c>
      <c r="E7" s="254"/>
      <c r="F7" s="618" t="s">
        <v>128</v>
      </c>
      <c r="G7" s="618" t="s">
        <v>166</v>
      </c>
      <c r="H7" s="618" t="s">
        <v>128</v>
      </c>
      <c r="I7" s="618" t="s">
        <v>166</v>
      </c>
      <c r="J7" s="618" t="s">
        <v>128</v>
      </c>
      <c r="K7" s="618" t="s">
        <v>166</v>
      </c>
      <c r="L7" s="620" t="s">
        <v>28</v>
      </c>
      <c r="M7" s="621"/>
      <c r="N7" s="258" t="s">
        <v>475</v>
      </c>
      <c r="O7" s="618" t="s">
        <v>128</v>
      </c>
      <c r="P7" s="618" t="s">
        <v>166</v>
      </c>
      <c r="Q7" s="618" t="s">
        <v>128</v>
      </c>
      <c r="R7" s="618" t="s">
        <v>166</v>
      </c>
      <c r="S7" s="618" t="s">
        <v>128</v>
      </c>
      <c r="T7" s="618" t="s">
        <v>166</v>
      </c>
      <c r="U7" s="618" t="s">
        <v>128</v>
      </c>
      <c r="V7" s="618" t="s">
        <v>166</v>
      </c>
      <c r="W7" s="618" t="s">
        <v>128</v>
      </c>
      <c r="X7" s="618" t="s">
        <v>166</v>
      </c>
      <c r="Y7" s="619"/>
      <c r="Z7" s="723"/>
    </row>
    <row r="8" spans="1:26" s="278" customFormat="1" ht="15" customHeight="1">
      <c r="A8" s="655"/>
      <c r="B8" s="381"/>
      <c r="C8" s="734"/>
      <c r="D8" s="719"/>
      <c r="E8" s="254"/>
      <c r="F8" s="619"/>
      <c r="G8" s="619"/>
      <c r="H8" s="619"/>
      <c r="I8" s="619"/>
      <c r="J8" s="619"/>
      <c r="K8" s="619"/>
      <c r="L8" s="257" t="s">
        <v>128</v>
      </c>
      <c r="M8" s="257" t="s">
        <v>166</v>
      </c>
      <c r="N8" s="259" t="s">
        <v>166</v>
      </c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550"/>
      <c r="Z8" s="549"/>
    </row>
    <row r="9" spans="1:26" s="279" customFormat="1" ht="15" customHeight="1" thickBot="1">
      <c r="A9" s="542"/>
      <c r="B9" s="543"/>
      <c r="C9" s="735"/>
      <c r="D9" s="720"/>
      <c r="E9" s="377" t="s">
        <v>208</v>
      </c>
      <c r="F9" s="376" t="s">
        <v>124</v>
      </c>
      <c r="G9" s="376" t="s">
        <v>209</v>
      </c>
      <c r="H9" s="376" t="s">
        <v>124</v>
      </c>
      <c r="I9" s="376" t="s">
        <v>209</v>
      </c>
      <c r="J9" s="376" t="s">
        <v>124</v>
      </c>
      <c r="K9" s="376" t="s">
        <v>209</v>
      </c>
      <c r="L9" s="375" t="s">
        <v>124</v>
      </c>
      <c r="M9" s="376" t="s">
        <v>209</v>
      </c>
      <c r="N9" s="262" t="s">
        <v>209</v>
      </c>
      <c r="O9" s="262" t="s">
        <v>124</v>
      </c>
      <c r="P9" s="262" t="s">
        <v>209</v>
      </c>
      <c r="Q9" s="262" t="s">
        <v>124</v>
      </c>
      <c r="R9" s="262" t="s">
        <v>209</v>
      </c>
      <c r="S9" s="262" t="s">
        <v>124</v>
      </c>
      <c r="T9" s="262" t="s">
        <v>209</v>
      </c>
      <c r="U9" s="262" t="s">
        <v>124</v>
      </c>
      <c r="V9" s="262" t="s">
        <v>209</v>
      </c>
      <c r="W9" s="262" t="s">
        <v>124</v>
      </c>
      <c r="X9" s="262" t="s">
        <v>209</v>
      </c>
      <c r="Y9" s="551" t="s">
        <v>441</v>
      </c>
      <c r="Z9" s="537" t="s">
        <v>126</v>
      </c>
    </row>
    <row r="10" spans="1:26" s="392" customFormat="1" ht="15" customHeight="1">
      <c r="A10" s="722" t="s">
        <v>565</v>
      </c>
      <c r="B10" s="721" t="s">
        <v>576</v>
      </c>
      <c r="C10" s="391" t="s">
        <v>27</v>
      </c>
      <c r="D10" s="496">
        <f aca="true" t="shared" si="0" ref="D10:D39">E10+Z10</f>
        <v>16884</v>
      </c>
      <c r="E10" s="497">
        <f aca="true" t="shared" si="1" ref="E10:Z10">E11+E12</f>
        <v>16859</v>
      </c>
      <c r="F10" s="497">
        <f t="shared" si="1"/>
        <v>34</v>
      </c>
      <c r="G10" s="497">
        <f t="shared" si="1"/>
        <v>34</v>
      </c>
      <c r="H10" s="497">
        <f t="shared" si="1"/>
        <v>448</v>
      </c>
      <c r="I10" s="497">
        <f t="shared" si="1"/>
        <v>653</v>
      </c>
      <c r="J10" s="497">
        <f t="shared" si="1"/>
        <v>408</v>
      </c>
      <c r="K10" s="497">
        <f t="shared" si="1"/>
        <v>226</v>
      </c>
      <c r="L10" s="497">
        <f t="shared" si="1"/>
        <v>381</v>
      </c>
      <c r="M10" s="497">
        <f t="shared" si="1"/>
        <v>94</v>
      </c>
      <c r="N10" s="497">
        <f t="shared" si="1"/>
        <v>33</v>
      </c>
      <c r="O10" s="497">
        <f t="shared" si="1"/>
        <v>1272</v>
      </c>
      <c r="P10" s="497">
        <f t="shared" si="1"/>
        <v>990</v>
      </c>
      <c r="Q10" s="497">
        <f t="shared" si="1"/>
        <v>3081</v>
      </c>
      <c r="R10" s="497">
        <f t="shared" si="1"/>
        <v>1836</v>
      </c>
      <c r="S10" s="497">
        <f t="shared" si="1"/>
        <v>3833</v>
      </c>
      <c r="T10" s="497">
        <f t="shared" si="1"/>
        <v>1168</v>
      </c>
      <c r="U10" s="497">
        <f t="shared" si="1"/>
        <v>7</v>
      </c>
      <c r="V10" s="497">
        <f>V12</f>
        <v>2</v>
      </c>
      <c r="W10" s="497">
        <f t="shared" si="1"/>
        <v>1990</v>
      </c>
      <c r="X10" s="497">
        <f t="shared" si="1"/>
        <v>353</v>
      </c>
      <c r="Y10" s="497">
        <f t="shared" si="1"/>
        <v>16</v>
      </c>
      <c r="Z10" s="544">
        <f t="shared" si="1"/>
        <v>25</v>
      </c>
    </row>
    <row r="11" spans="1:26" s="392" customFormat="1" ht="15" customHeight="1">
      <c r="A11" s="718"/>
      <c r="B11" s="716"/>
      <c r="C11" s="393" t="s">
        <v>577</v>
      </c>
      <c r="D11" s="498">
        <f t="shared" si="0"/>
        <v>9727</v>
      </c>
      <c r="E11" s="499">
        <f>SUM(F11:Y11)</f>
        <v>9709</v>
      </c>
      <c r="F11" s="499">
        <v>11</v>
      </c>
      <c r="G11" s="499">
        <v>16</v>
      </c>
      <c r="H11" s="499">
        <v>229</v>
      </c>
      <c r="I11" s="499">
        <v>372</v>
      </c>
      <c r="J11" s="499">
        <v>211</v>
      </c>
      <c r="K11" s="499">
        <v>131</v>
      </c>
      <c r="L11" s="499">
        <v>203</v>
      </c>
      <c r="M11" s="499">
        <v>49</v>
      </c>
      <c r="N11" s="499">
        <v>17</v>
      </c>
      <c r="O11" s="499">
        <v>724</v>
      </c>
      <c r="P11" s="499">
        <v>520</v>
      </c>
      <c r="Q11" s="499">
        <v>1773</v>
      </c>
      <c r="R11" s="499">
        <v>1050</v>
      </c>
      <c r="S11" s="499">
        <v>2351</v>
      </c>
      <c r="T11" s="499">
        <v>625</v>
      </c>
      <c r="U11" s="499">
        <v>6</v>
      </c>
      <c r="V11" s="500" t="s">
        <v>651</v>
      </c>
      <c r="W11" s="499">
        <v>1203</v>
      </c>
      <c r="X11" s="499">
        <v>205</v>
      </c>
      <c r="Y11" s="499">
        <v>13</v>
      </c>
      <c r="Z11" s="502">
        <v>18</v>
      </c>
    </row>
    <row r="12" spans="1:26" s="392" customFormat="1" ht="15" customHeight="1">
      <c r="A12" s="718"/>
      <c r="B12" s="716"/>
      <c r="C12" s="393" t="s">
        <v>578</v>
      </c>
      <c r="D12" s="498">
        <f t="shared" si="0"/>
        <v>7157</v>
      </c>
      <c r="E12" s="499">
        <f>SUM(F12:Y12)</f>
        <v>7150</v>
      </c>
      <c r="F12" s="499">
        <v>23</v>
      </c>
      <c r="G12" s="499">
        <v>18</v>
      </c>
      <c r="H12" s="499">
        <v>219</v>
      </c>
      <c r="I12" s="499">
        <v>281</v>
      </c>
      <c r="J12" s="499">
        <v>197</v>
      </c>
      <c r="K12" s="499">
        <v>95</v>
      </c>
      <c r="L12" s="499">
        <v>178</v>
      </c>
      <c r="M12" s="499">
        <v>45</v>
      </c>
      <c r="N12" s="499">
        <v>16</v>
      </c>
      <c r="O12" s="499">
        <v>548</v>
      </c>
      <c r="P12" s="499">
        <v>470</v>
      </c>
      <c r="Q12" s="499">
        <v>1308</v>
      </c>
      <c r="R12" s="499">
        <v>786</v>
      </c>
      <c r="S12" s="499">
        <v>1482</v>
      </c>
      <c r="T12" s="499">
        <v>543</v>
      </c>
      <c r="U12" s="499">
        <v>1</v>
      </c>
      <c r="V12" s="499">
        <v>2</v>
      </c>
      <c r="W12" s="499">
        <v>787</v>
      </c>
      <c r="X12" s="499">
        <v>148</v>
      </c>
      <c r="Y12" s="499">
        <v>3</v>
      </c>
      <c r="Z12" s="502">
        <v>7</v>
      </c>
    </row>
    <row r="13" spans="1:26" ht="15" customHeight="1">
      <c r="A13" s="718"/>
      <c r="B13" s="715" t="s">
        <v>579</v>
      </c>
      <c r="C13" s="393" t="s">
        <v>27</v>
      </c>
      <c r="D13" s="498">
        <f>E13+Z13</f>
        <v>18862</v>
      </c>
      <c r="E13" s="499">
        <f aca="true" t="shared" si="2" ref="E13:Z13">E14+E15</f>
        <v>18762</v>
      </c>
      <c r="F13" s="499">
        <f t="shared" si="2"/>
        <v>24</v>
      </c>
      <c r="G13" s="499">
        <f t="shared" si="2"/>
        <v>21</v>
      </c>
      <c r="H13" s="499">
        <f t="shared" si="2"/>
        <v>505</v>
      </c>
      <c r="I13" s="499">
        <f t="shared" si="2"/>
        <v>649</v>
      </c>
      <c r="J13" s="499">
        <f t="shared" si="2"/>
        <v>399</v>
      </c>
      <c r="K13" s="499">
        <f t="shared" si="2"/>
        <v>186</v>
      </c>
      <c r="L13" s="499">
        <f t="shared" si="2"/>
        <v>450</v>
      </c>
      <c r="M13" s="499">
        <f t="shared" si="2"/>
        <v>86</v>
      </c>
      <c r="N13" s="499">
        <f t="shared" si="2"/>
        <v>298</v>
      </c>
      <c r="O13" s="499">
        <f t="shared" si="2"/>
        <v>1219</v>
      </c>
      <c r="P13" s="499">
        <f t="shared" si="2"/>
        <v>905</v>
      </c>
      <c r="Q13" s="499">
        <f t="shared" si="2"/>
        <v>3177</v>
      </c>
      <c r="R13" s="499">
        <f t="shared" si="2"/>
        <v>1577</v>
      </c>
      <c r="S13" s="499">
        <f t="shared" si="2"/>
        <v>4305</v>
      </c>
      <c r="T13" s="499">
        <f t="shared" si="2"/>
        <v>997</v>
      </c>
      <c r="U13" s="499">
        <f t="shared" si="2"/>
        <v>4</v>
      </c>
      <c r="V13" s="500" t="s">
        <v>652</v>
      </c>
      <c r="W13" s="499">
        <f t="shared" si="2"/>
        <v>3401</v>
      </c>
      <c r="X13" s="499">
        <f t="shared" si="2"/>
        <v>536</v>
      </c>
      <c r="Y13" s="499">
        <f t="shared" si="2"/>
        <v>23</v>
      </c>
      <c r="Z13" s="502">
        <f t="shared" si="2"/>
        <v>100</v>
      </c>
    </row>
    <row r="14" spans="1:26" ht="15" customHeight="1">
      <c r="A14" s="718"/>
      <c r="B14" s="716"/>
      <c r="C14" s="393" t="s">
        <v>577</v>
      </c>
      <c r="D14" s="498">
        <f>E14+Z14</f>
        <v>10056</v>
      </c>
      <c r="E14" s="499">
        <f>SUM(F14:Y14)</f>
        <v>9988</v>
      </c>
      <c r="F14" s="501">
        <v>12</v>
      </c>
      <c r="G14" s="501">
        <v>10</v>
      </c>
      <c r="H14" s="501">
        <v>265</v>
      </c>
      <c r="I14" s="501">
        <v>363</v>
      </c>
      <c r="J14" s="501">
        <v>233</v>
      </c>
      <c r="K14" s="501">
        <v>110</v>
      </c>
      <c r="L14" s="501">
        <v>208</v>
      </c>
      <c r="M14" s="501">
        <v>44</v>
      </c>
      <c r="N14" s="501">
        <v>137</v>
      </c>
      <c r="O14" s="501">
        <v>716</v>
      </c>
      <c r="P14" s="501">
        <v>481</v>
      </c>
      <c r="Q14" s="501">
        <v>1833</v>
      </c>
      <c r="R14" s="501">
        <v>887</v>
      </c>
      <c r="S14" s="501">
        <v>2272</v>
      </c>
      <c r="T14" s="502">
        <v>515</v>
      </c>
      <c r="U14" s="502">
        <v>2</v>
      </c>
      <c r="V14" s="503" t="s">
        <v>653</v>
      </c>
      <c r="W14" s="501">
        <v>1585</v>
      </c>
      <c r="X14" s="501">
        <v>300</v>
      </c>
      <c r="Y14" s="501">
        <v>15</v>
      </c>
      <c r="Z14" s="502">
        <v>68</v>
      </c>
    </row>
    <row r="15" spans="1:26" ht="15" customHeight="1">
      <c r="A15" s="718"/>
      <c r="B15" s="716"/>
      <c r="C15" s="393" t="s">
        <v>580</v>
      </c>
      <c r="D15" s="498">
        <f>E15+Z15</f>
        <v>8806</v>
      </c>
      <c r="E15" s="499">
        <f>SUM(F15:Y15)</f>
        <v>8774</v>
      </c>
      <c r="F15" s="501">
        <v>12</v>
      </c>
      <c r="G15" s="501">
        <v>11</v>
      </c>
      <c r="H15" s="501">
        <v>240</v>
      </c>
      <c r="I15" s="501">
        <v>286</v>
      </c>
      <c r="J15" s="501">
        <v>166</v>
      </c>
      <c r="K15" s="501">
        <v>76</v>
      </c>
      <c r="L15" s="501">
        <v>242</v>
      </c>
      <c r="M15" s="501">
        <v>42</v>
      </c>
      <c r="N15" s="501">
        <v>161</v>
      </c>
      <c r="O15" s="501">
        <v>503</v>
      </c>
      <c r="P15" s="501">
        <v>424</v>
      </c>
      <c r="Q15" s="501">
        <v>1344</v>
      </c>
      <c r="R15" s="501">
        <v>690</v>
      </c>
      <c r="S15" s="501">
        <v>2033</v>
      </c>
      <c r="T15" s="501">
        <v>482</v>
      </c>
      <c r="U15" s="501">
        <v>2</v>
      </c>
      <c r="V15" s="500" t="s">
        <v>653</v>
      </c>
      <c r="W15" s="501">
        <v>1816</v>
      </c>
      <c r="X15" s="501">
        <v>236</v>
      </c>
      <c r="Y15" s="501">
        <v>8</v>
      </c>
      <c r="Z15" s="499">
        <v>32</v>
      </c>
    </row>
    <row r="16" spans="1:26" ht="15" customHeight="1">
      <c r="A16" s="717" t="s">
        <v>566</v>
      </c>
      <c r="B16" s="715" t="s">
        <v>581</v>
      </c>
      <c r="C16" s="393" t="s">
        <v>27</v>
      </c>
      <c r="D16" s="498">
        <f t="shared" si="0"/>
        <v>17742</v>
      </c>
      <c r="E16" s="499">
        <f aca="true" t="shared" si="3" ref="E16:Z16">E17+E18</f>
        <v>17718</v>
      </c>
      <c r="F16" s="499">
        <f t="shared" si="3"/>
        <v>44</v>
      </c>
      <c r="G16" s="499">
        <f t="shared" si="3"/>
        <v>34</v>
      </c>
      <c r="H16" s="499">
        <f t="shared" si="3"/>
        <v>519</v>
      </c>
      <c r="I16" s="499">
        <f t="shared" si="3"/>
        <v>793</v>
      </c>
      <c r="J16" s="499">
        <f t="shared" si="3"/>
        <v>423</v>
      </c>
      <c r="K16" s="499">
        <f t="shared" si="3"/>
        <v>244</v>
      </c>
      <c r="L16" s="499">
        <f t="shared" si="3"/>
        <v>372</v>
      </c>
      <c r="M16" s="499">
        <f t="shared" si="3"/>
        <v>94</v>
      </c>
      <c r="N16" s="499">
        <f t="shared" si="3"/>
        <v>31</v>
      </c>
      <c r="O16" s="499">
        <f t="shared" si="3"/>
        <v>1371</v>
      </c>
      <c r="P16" s="499">
        <f t="shared" si="3"/>
        <v>1115</v>
      </c>
      <c r="Q16" s="499">
        <f t="shared" si="3"/>
        <v>3224</v>
      </c>
      <c r="R16" s="499">
        <f t="shared" si="3"/>
        <v>1984</v>
      </c>
      <c r="S16" s="499">
        <f t="shared" si="3"/>
        <v>3952</v>
      </c>
      <c r="T16" s="499">
        <f t="shared" si="3"/>
        <v>1181</v>
      </c>
      <c r="U16" s="499">
        <f t="shared" si="3"/>
        <v>6</v>
      </c>
      <c r="V16" s="499">
        <f>V18</f>
        <v>2</v>
      </c>
      <c r="W16" s="499">
        <f t="shared" si="3"/>
        <v>1956</v>
      </c>
      <c r="X16" s="499">
        <f t="shared" si="3"/>
        <v>359</v>
      </c>
      <c r="Y16" s="499">
        <f t="shared" si="3"/>
        <v>14</v>
      </c>
      <c r="Z16" s="502">
        <f t="shared" si="3"/>
        <v>24</v>
      </c>
    </row>
    <row r="17" spans="1:26" ht="15" customHeight="1">
      <c r="A17" s="718"/>
      <c r="B17" s="716"/>
      <c r="C17" s="393" t="s">
        <v>577</v>
      </c>
      <c r="D17" s="498">
        <f t="shared" si="0"/>
        <v>10257</v>
      </c>
      <c r="E17" s="499">
        <f>SUM(F17:Y17)</f>
        <v>10241</v>
      </c>
      <c r="F17" s="501">
        <v>17</v>
      </c>
      <c r="G17" s="501">
        <v>19</v>
      </c>
      <c r="H17" s="501">
        <v>264</v>
      </c>
      <c r="I17" s="501">
        <v>455</v>
      </c>
      <c r="J17" s="501">
        <v>216</v>
      </c>
      <c r="K17" s="501">
        <v>139</v>
      </c>
      <c r="L17" s="501">
        <v>199</v>
      </c>
      <c r="M17" s="501">
        <v>49</v>
      </c>
      <c r="N17" s="501">
        <v>14</v>
      </c>
      <c r="O17" s="501">
        <v>761</v>
      </c>
      <c r="P17" s="501">
        <v>592</v>
      </c>
      <c r="Q17" s="501">
        <v>1865</v>
      </c>
      <c r="R17" s="501">
        <v>1174</v>
      </c>
      <c r="S17" s="501">
        <v>2428</v>
      </c>
      <c r="T17" s="502">
        <v>631</v>
      </c>
      <c r="U17" s="502">
        <v>5</v>
      </c>
      <c r="V17" s="503" t="s">
        <v>60</v>
      </c>
      <c r="W17" s="501">
        <v>1190</v>
      </c>
      <c r="X17" s="501">
        <v>212</v>
      </c>
      <c r="Y17" s="501">
        <v>11</v>
      </c>
      <c r="Z17" s="502">
        <v>16</v>
      </c>
    </row>
    <row r="18" spans="1:26" ht="15" customHeight="1">
      <c r="A18" s="718"/>
      <c r="B18" s="716"/>
      <c r="C18" s="393" t="s">
        <v>580</v>
      </c>
      <c r="D18" s="498">
        <f t="shared" si="0"/>
        <v>7485</v>
      </c>
      <c r="E18" s="499">
        <f>SUM(F18:Y18)</f>
        <v>7477</v>
      </c>
      <c r="F18" s="501">
        <v>27</v>
      </c>
      <c r="G18" s="501">
        <v>15</v>
      </c>
      <c r="H18" s="501">
        <v>255</v>
      </c>
      <c r="I18" s="501">
        <v>338</v>
      </c>
      <c r="J18" s="501">
        <v>207</v>
      </c>
      <c r="K18" s="501">
        <v>105</v>
      </c>
      <c r="L18" s="501">
        <v>173</v>
      </c>
      <c r="M18" s="501">
        <v>45</v>
      </c>
      <c r="N18" s="501">
        <v>17</v>
      </c>
      <c r="O18" s="501">
        <v>610</v>
      </c>
      <c r="P18" s="501">
        <v>523</v>
      </c>
      <c r="Q18" s="501">
        <v>1359</v>
      </c>
      <c r="R18" s="501">
        <v>810</v>
      </c>
      <c r="S18" s="501">
        <v>1524</v>
      </c>
      <c r="T18" s="501">
        <v>550</v>
      </c>
      <c r="U18" s="501">
        <v>1</v>
      </c>
      <c r="V18" s="499">
        <v>2</v>
      </c>
      <c r="W18" s="501">
        <v>766</v>
      </c>
      <c r="X18" s="501">
        <v>147</v>
      </c>
      <c r="Y18" s="501">
        <v>3</v>
      </c>
      <c r="Z18" s="499">
        <v>8</v>
      </c>
    </row>
    <row r="19" spans="1:26" ht="15" customHeight="1">
      <c r="A19" s="718"/>
      <c r="B19" s="715" t="s">
        <v>579</v>
      </c>
      <c r="C19" s="393" t="s">
        <v>27</v>
      </c>
      <c r="D19" s="498">
        <f t="shared" si="0"/>
        <v>19951</v>
      </c>
      <c r="E19" s="499">
        <f aca="true" t="shared" si="4" ref="E19:Z19">E20+E21</f>
        <v>19851</v>
      </c>
      <c r="F19" s="499">
        <f t="shared" si="4"/>
        <v>31</v>
      </c>
      <c r="G19" s="499">
        <f t="shared" si="4"/>
        <v>21</v>
      </c>
      <c r="H19" s="499">
        <f t="shared" si="4"/>
        <v>622</v>
      </c>
      <c r="I19" s="499">
        <f t="shared" si="4"/>
        <v>747</v>
      </c>
      <c r="J19" s="499">
        <f t="shared" si="4"/>
        <v>429</v>
      </c>
      <c r="K19" s="499">
        <f t="shared" si="4"/>
        <v>200</v>
      </c>
      <c r="L19" s="499">
        <f t="shared" si="4"/>
        <v>474</v>
      </c>
      <c r="M19" s="499">
        <f t="shared" si="4"/>
        <v>85</v>
      </c>
      <c r="N19" s="499">
        <f t="shared" si="4"/>
        <v>302</v>
      </c>
      <c r="O19" s="499">
        <f t="shared" si="4"/>
        <v>1345</v>
      </c>
      <c r="P19" s="499">
        <f t="shared" si="4"/>
        <v>1066</v>
      </c>
      <c r="Q19" s="499">
        <f t="shared" si="4"/>
        <v>3341</v>
      </c>
      <c r="R19" s="499">
        <f t="shared" si="4"/>
        <v>1689</v>
      </c>
      <c r="S19" s="499">
        <f t="shared" si="4"/>
        <v>4459</v>
      </c>
      <c r="T19" s="499">
        <f t="shared" si="4"/>
        <v>986</v>
      </c>
      <c r="U19" s="499">
        <f t="shared" si="4"/>
        <v>5</v>
      </c>
      <c r="V19" s="500" t="s">
        <v>60</v>
      </c>
      <c r="W19" s="499">
        <f t="shared" si="4"/>
        <v>3468</v>
      </c>
      <c r="X19" s="499">
        <f t="shared" si="4"/>
        <v>557</v>
      </c>
      <c r="Y19" s="499">
        <f t="shared" si="4"/>
        <v>24</v>
      </c>
      <c r="Z19" s="502">
        <f t="shared" si="4"/>
        <v>100</v>
      </c>
    </row>
    <row r="20" spans="1:26" ht="15" customHeight="1">
      <c r="A20" s="718"/>
      <c r="B20" s="716"/>
      <c r="C20" s="393" t="s">
        <v>577</v>
      </c>
      <c r="D20" s="498">
        <f t="shared" si="0"/>
        <v>10656</v>
      </c>
      <c r="E20" s="499">
        <f>SUM(F20:Y20)</f>
        <v>10588</v>
      </c>
      <c r="F20" s="501">
        <v>15</v>
      </c>
      <c r="G20" s="501">
        <v>11</v>
      </c>
      <c r="H20" s="501">
        <v>329</v>
      </c>
      <c r="I20" s="501">
        <v>422</v>
      </c>
      <c r="J20" s="501">
        <v>254</v>
      </c>
      <c r="K20" s="501">
        <v>117</v>
      </c>
      <c r="L20" s="501">
        <v>224</v>
      </c>
      <c r="M20" s="501">
        <v>47</v>
      </c>
      <c r="N20" s="501">
        <v>143</v>
      </c>
      <c r="O20" s="501">
        <v>777</v>
      </c>
      <c r="P20" s="501">
        <v>563</v>
      </c>
      <c r="Q20" s="501">
        <v>1932</v>
      </c>
      <c r="R20" s="501">
        <v>949</v>
      </c>
      <c r="S20" s="501">
        <v>2353</v>
      </c>
      <c r="T20" s="502">
        <v>496</v>
      </c>
      <c r="U20" s="502">
        <v>3</v>
      </c>
      <c r="V20" s="503" t="s">
        <v>653</v>
      </c>
      <c r="W20" s="501">
        <v>1634</v>
      </c>
      <c r="X20" s="501">
        <v>304</v>
      </c>
      <c r="Y20" s="501">
        <v>15</v>
      </c>
      <c r="Z20" s="502">
        <v>68</v>
      </c>
    </row>
    <row r="21" spans="1:26" ht="15" customHeight="1">
      <c r="A21" s="718"/>
      <c r="B21" s="716"/>
      <c r="C21" s="393" t="s">
        <v>580</v>
      </c>
      <c r="D21" s="498">
        <f t="shared" si="0"/>
        <v>9295</v>
      </c>
      <c r="E21" s="499">
        <f>SUM(F21:Y21)</f>
        <v>9263</v>
      </c>
      <c r="F21" s="501">
        <v>16</v>
      </c>
      <c r="G21" s="501">
        <v>10</v>
      </c>
      <c r="H21" s="501">
        <v>293</v>
      </c>
      <c r="I21" s="501">
        <v>325</v>
      </c>
      <c r="J21" s="501">
        <v>175</v>
      </c>
      <c r="K21" s="501">
        <v>83</v>
      </c>
      <c r="L21" s="501">
        <v>250</v>
      </c>
      <c r="M21" s="501">
        <v>38</v>
      </c>
      <c r="N21" s="501">
        <v>159</v>
      </c>
      <c r="O21" s="501">
        <v>568</v>
      </c>
      <c r="P21" s="501">
        <v>503</v>
      </c>
      <c r="Q21" s="501">
        <v>1409</v>
      </c>
      <c r="R21" s="501">
        <v>740</v>
      </c>
      <c r="S21" s="501">
        <v>2106</v>
      </c>
      <c r="T21" s="501">
        <v>490</v>
      </c>
      <c r="U21" s="501">
        <v>2</v>
      </c>
      <c r="V21" s="500" t="s">
        <v>653</v>
      </c>
      <c r="W21" s="501">
        <v>1834</v>
      </c>
      <c r="X21" s="501">
        <v>253</v>
      </c>
      <c r="Y21" s="501">
        <v>9</v>
      </c>
      <c r="Z21" s="499">
        <v>32</v>
      </c>
    </row>
    <row r="22" spans="1:26" s="392" customFormat="1" ht="15" customHeight="1">
      <c r="A22" s="717" t="s">
        <v>567</v>
      </c>
      <c r="B22" s="715" t="s">
        <v>581</v>
      </c>
      <c r="C22" s="393" t="s">
        <v>27</v>
      </c>
      <c r="D22" s="498">
        <f t="shared" si="0"/>
        <v>18630</v>
      </c>
      <c r="E22" s="499">
        <f aca="true" t="shared" si="5" ref="E22:Z22">E23+E24</f>
        <v>18607</v>
      </c>
      <c r="F22" s="499">
        <f t="shared" si="5"/>
        <v>47</v>
      </c>
      <c r="G22" s="499">
        <f t="shared" si="5"/>
        <v>44</v>
      </c>
      <c r="H22" s="499">
        <f t="shared" si="5"/>
        <v>601</v>
      </c>
      <c r="I22" s="499">
        <f t="shared" si="5"/>
        <v>917</v>
      </c>
      <c r="J22" s="499">
        <f t="shared" si="5"/>
        <v>444</v>
      </c>
      <c r="K22" s="499">
        <f t="shared" si="5"/>
        <v>249</v>
      </c>
      <c r="L22" s="499">
        <f t="shared" si="5"/>
        <v>375</v>
      </c>
      <c r="M22" s="499">
        <f t="shared" si="5"/>
        <v>93</v>
      </c>
      <c r="N22" s="499">
        <f t="shared" si="5"/>
        <v>35</v>
      </c>
      <c r="O22" s="499">
        <f t="shared" si="5"/>
        <v>1432</v>
      </c>
      <c r="P22" s="499">
        <f t="shared" si="5"/>
        <v>1136</v>
      </c>
      <c r="Q22" s="499">
        <f t="shared" si="5"/>
        <v>3399</v>
      </c>
      <c r="R22" s="499">
        <f t="shared" si="5"/>
        <v>2238</v>
      </c>
      <c r="S22" s="499">
        <f t="shared" si="5"/>
        <v>4059</v>
      </c>
      <c r="T22" s="499">
        <f t="shared" si="5"/>
        <v>1195</v>
      </c>
      <c r="U22" s="499">
        <f t="shared" si="5"/>
        <v>6</v>
      </c>
      <c r="V22" s="499">
        <f>V24</f>
        <v>1</v>
      </c>
      <c r="W22" s="499">
        <f t="shared" si="5"/>
        <v>1947</v>
      </c>
      <c r="X22" s="499">
        <f t="shared" si="5"/>
        <v>375</v>
      </c>
      <c r="Y22" s="499">
        <f t="shared" si="5"/>
        <v>14</v>
      </c>
      <c r="Z22" s="502">
        <f t="shared" si="5"/>
        <v>23</v>
      </c>
    </row>
    <row r="23" spans="1:26" s="392" customFormat="1" ht="15" customHeight="1">
      <c r="A23" s="718"/>
      <c r="B23" s="716"/>
      <c r="C23" s="393" t="s">
        <v>577</v>
      </c>
      <c r="D23" s="498">
        <f t="shared" si="0"/>
        <v>10800</v>
      </c>
      <c r="E23" s="499">
        <f>SUM(F23:Y23)</f>
        <v>10784</v>
      </c>
      <c r="F23" s="499">
        <v>19</v>
      </c>
      <c r="G23" s="499">
        <v>21</v>
      </c>
      <c r="H23" s="499">
        <v>310</v>
      </c>
      <c r="I23" s="499">
        <v>535</v>
      </c>
      <c r="J23" s="499">
        <v>231</v>
      </c>
      <c r="K23" s="499">
        <v>135</v>
      </c>
      <c r="L23" s="499">
        <v>197</v>
      </c>
      <c r="M23" s="499">
        <v>50</v>
      </c>
      <c r="N23" s="499">
        <v>15</v>
      </c>
      <c r="O23" s="499">
        <v>792</v>
      </c>
      <c r="P23" s="499">
        <v>617</v>
      </c>
      <c r="Q23" s="499">
        <v>1962</v>
      </c>
      <c r="R23" s="499">
        <v>1327</v>
      </c>
      <c r="S23" s="499">
        <v>2494</v>
      </c>
      <c r="T23" s="499">
        <v>648</v>
      </c>
      <c r="U23" s="499">
        <v>5</v>
      </c>
      <c r="V23" s="500" t="s">
        <v>60</v>
      </c>
      <c r="W23" s="499">
        <v>1196</v>
      </c>
      <c r="X23" s="499">
        <v>219</v>
      </c>
      <c r="Y23" s="499">
        <v>11</v>
      </c>
      <c r="Z23" s="502">
        <v>16</v>
      </c>
    </row>
    <row r="24" spans="1:26" s="392" customFormat="1" ht="15" customHeight="1">
      <c r="A24" s="718"/>
      <c r="B24" s="716"/>
      <c r="C24" s="393" t="s">
        <v>580</v>
      </c>
      <c r="D24" s="498">
        <f t="shared" si="0"/>
        <v>7830</v>
      </c>
      <c r="E24" s="499">
        <f>SUM(F24:Y24)</f>
        <v>7823</v>
      </c>
      <c r="F24" s="499">
        <v>28</v>
      </c>
      <c r="G24" s="499">
        <v>23</v>
      </c>
      <c r="H24" s="499">
        <v>291</v>
      </c>
      <c r="I24" s="499">
        <v>382</v>
      </c>
      <c r="J24" s="499">
        <v>213</v>
      </c>
      <c r="K24" s="499">
        <v>114</v>
      </c>
      <c r="L24" s="499">
        <v>178</v>
      </c>
      <c r="M24" s="499">
        <v>43</v>
      </c>
      <c r="N24" s="499">
        <v>20</v>
      </c>
      <c r="O24" s="499">
        <v>640</v>
      </c>
      <c r="P24" s="499">
        <v>519</v>
      </c>
      <c r="Q24" s="499">
        <v>1437</v>
      </c>
      <c r="R24" s="499">
        <v>911</v>
      </c>
      <c r="S24" s="499">
        <v>1565</v>
      </c>
      <c r="T24" s="499">
        <v>547</v>
      </c>
      <c r="U24" s="499">
        <v>1</v>
      </c>
      <c r="V24" s="499">
        <v>1</v>
      </c>
      <c r="W24" s="499">
        <v>751</v>
      </c>
      <c r="X24" s="499">
        <v>156</v>
      </c>
      <c r="Y24" s="499">
        <v>3</v>
      </c>
      <c r="Z24" s="502">
        <v>7</v>
      </c>
    </row>
    <row r="25" spans="1:26" ht="15" customHeight="1">
      <c r="A25" s="718"/>
      <c r="B25" s="715" t="s">
        <v>579</v>
      </c>
      <c r="C25" s="393" t="s">
        <v>27</v>
      </c>
      <c r="D25" s="498">
        <f t="shared" si="0"/>
        <v>21014</v>
      </c>
      <c r="E25" s="499">
        <f aca="true" t="shared" si="6" ref="E25:Z25">E26+E27</f>
        <v>20918</v>
      </c>
      <c r="F25" s="499">
        <f t="shared" si="6"/>
        <v>36</v>
      </c>
      <c r="G25" s="499">
        <f t="shared" si="6"/>
        <v>20</v>
      </c>
      <c r="H25" s="499">
        <f t="shared" si="6"/>
        <v>747</v>
      </c>
      <c r="I25" s="499">
        <f t="shared" si="6"/>
        <v>880</v>
      </c>
      <c r="J25" s="499">
        <f t="shared" si="6"/>
        <v>441</v>
      </c>
      <c r="K25" s="499">
        <f t="shared" si="6"/>
        <v>214</v>
      </c>
      <c r="L25" s="499">
        <f t="shared" si="6"/>
        <v>497</v>
      </c>
      <c r="M25" s="499">
        <f t="shared" si="6"/>
        <v>93</v>
      </c>
      <c r="N25" s="499">
        <f t="shared" si="6"/>
        <v>304</v>
      </c>
      <c r="O25" s="499">
        <f t="shared" si="6"/>
        <v>1417</v>
      </c>
      <c r="P25" s="499">
        <f t="shared" si="6"/>
        <v>1105</v>
      </c>
      <c r="Q25" s="499">
        <f t="shared" si="6"/>
        <v>3555</v>
      </c>
      <c r="R25" s="499">
        <f t="shared" si="6"/>
        <v>1886</v>
      </c>
      <c r="S25" s="499">
        <f t="shared" si="6"/>
        <v>4568</v>
      </c>
      <c r="T25" s="499">
        <f t="shared" si="6"/>
        <v>1020</v>
      </c>
      <c r="U25" s="499">
        <f t="shared" si="6"/>
        <v>5</v>
      </c>
      <c r="V25" s="500" t="s">
        <v>60</v>
      </c>
      <c r="W25" s="499">
        <f t="shared" si="6"/>
        <v>3529</v>
      </c>
      <c r="X25" s="499">
        <f t="shared" si="6"/>
        <v>573</v>
      </c>
      <c r="Y25" s="499">
        <f t="shared" si="6"/>
        <v>28</v>
      </c>
      <c r="Z25" s="502">
        <f t="shared" si="6"/>
        <v>96</v>
      </c>
    </row>
    <row r="26" spans="1:26" ht="15" customHeight="1">
      <c r="A26" s="718"/>
      <c r="B26" s="716"/>
      <c r="C26" s="393" t="s">
        <v>577</v>
      </c>
      <c r="D26" s="498">
        <f t="shared" si="0"/>
        <v>11262</v>
      </c>
      <c r="E26" s="499">
        <f>SUM(F26:Y26)</f>
        <v>11196</v>
      </c>
      <c r="F26" s="501">
        <v>19</v>
      </c>
      <c r="G26" s="501">
        <v>11</v>
      </c>
      <c r="H26" s="501">
        <v>390</v>
      </c>
      <c r="I26" s="501">
        <v>506</v>
      </c>
      <c r="J26" s="501">
        <v>259</v>
      </c>
      <c r="K26" s="501">
        <v>126</v>
      </c>
      <c r="L26" s="501">
        <v>238</v>
      </c>
      <c r="M26" s="501">
        <v>49</v>
      </c>
      <c r="N26" s="501">
        <v>142</v>
      </c>
      <c r="O26" s="501">
        <v>825</v>
      </c>
      <c r="P26" s="501">
        <v>579</v>
      </c>
      <c r="Q26" s="501">
        <v>2057</v>
      </c>
      <c r="R26" s="501">
        <v>1046</v>
      </c>
      <c r="S26" s="501">
        <v>2409</v>
      </c>
      <c r="T26" s="502">
        <v>529</v>
      </c>
      <c r="U26" s="502">
        <v>3</v>
      </c>
      <c r="V26" s="503" t="s">
        <v>653</v>
      </c>
      <c r="W26" s="501">
        <v>1679</v>
      </c>
      <c r="X26" s="501">
        <v>311</v>
      </c>
      <c r="Y26" s="501">
        <v>18</v>
      </c>
      <c r="Z26" s="502">
        <v>66</v>
      </c>
    </row>
    <row r="27" spans="1:26" ht="15" customHeight="1">
      <c r="A27" s="718"/>
      <c r="B27" s="716"/>
      <c r="C27" s="393" t="s">
        <v>580</v>
      </c>
      <c r="D27" s="498">
        <f t="shared" si="0"/>
        <v>9752</v>
      </c>
      <c r="E27" s="499">
        <f>SUM(F27:Y27)</f>
        <v>9722</v>
      </c>
      <c r="F27" s="501">
        <v>17</v>
      </c>
      <c r="G27" s="501">
        <v>9</v>
      </c>
      <c r="H27" s="501">
        <v>357</v>
      </c>
      <c r="I27" s="501">
        <v>374</v>
      </c>
      <c r="J27" s="501">
        <v>182</v>
      </c>
      <c r="K27" s="501">
        <v>88</v>
      </c>
      <c r="L27" s="501">
        <v>259</v>
      </c>
      <c r="M27" s="501">
        <v>44</v>
      </c>
      <c r="N27" s="501">
        <v>162</v>
      </c>
      <c r="O27" s="501">
        <v>592</v>
      </c>
      <c r="P27" s="501">
        <v>526</v>
      </c>
      <c r="Q27" s="501">
        <v>1498</v>
      </c>
      <c r="R27" s="501">
        <v>840</v>
      </c>
      <c r="S27" s="501">
        <v>2159</v>
      </c>
      <c r="T27" s="501">
        <v>491</v>
      </c>
      <c r="U27" s="501">
        <v>2</v>
      </c>
      <c r="V27" s="500" t="s">
        <v>653</v>
      </c>
      <c r="W27" s="501">
        <v>1850</v>
      </c>
      <c r="X27" s="501">
        <v>262</v>
      </c>
      <c r="Y27" s="501">
        <v>10</v>
      </c>
      <c r="Z27" s="499">
        <v>30</v>
      </c>
    </row>
    <row r="28" spans="1:26" ht="15" customHeight="1">
      <c r="A28" s="717" t="s">
        <v>568</v>
      </c>
      <c r="B28" s="715" t="s">
        <v>581</v>
      </c>
      <c r="C28" s="393" t="s">
        <v>27</v>
      </c>
      <c r="D28" s="498">
        <f t="shared" si="0"/>
        <v>19484</v>
      </c>
      <c r="E28" s="499">
        <f>SUM(F28:Y28)</f>
        <v>19460</v>
      </c>
      <c r="F28" s="499">
        <f aca="true" t="shared" si="7" ref="F28:Z28">F29+F30</f>
        <v>61</v>
      </c>
      <c r="G28" s="499">
        <f t="shared" si="7"/>
        <v>55</v>
      </c>
      <c r="H28" s="499">
        <f t="shared" si="7"/>
        <v>703</v>
      </c>
      <c r="I28" s="499">
        <f t="shared" si="7"/>
        <v>1060</v>
      </c>
      <c r="J28" s="499">
        <f t="shared" si="7"/>
        <v>460</v>
      </c>
      <c r="K28" s="499">
        <f t="shared" si="7"/>
        <v>247</v>
      </c>
      <c r="L28" s="499">
        <f t="shared" si="7"/>
        <v>375</v>
      </c>
      <c r="M28" s="499">
        <f t="shared" si="7"/>
        <v>93</v>
      </c>
      <c r="N28" s="499">
        <f t="shared" si="7"/>
        <v>32</v>
      </c>
      <c r="O28" s="499">
        <f t="shared" si="7"/>
        <v>1459</v>
      </c>
      <c r="P28" s="499">
        <f t="shared" si="7"/>
        <v>1180</v>
      </c>
      <c r="Q28" s="499">
        <f t="shared" si="7"/>
        <v>3623</v>
      </c>
      <c r="R28" s="499">
        <f t="shared" si="7"/>
        <v>2497</v>
      </c>
      <c r="S28" s="499">
        <f t="shared" si="7"/>
        <v>4121</v>
      </c>
      <c r="T28" s="499">
        <f t="shared" si="7"/>
        <v>1200</v>
      </c>
      <c r="U28" s="499">
        <f t="shared" si="7"/>
        <v>6</v>
      </c>
      <c r="V28" s="499">
        <f>V30</f>
        <v>1</v>
      </c>
      <c r="W28" s="499">
        <f t="shared" si="7"/>
        <v>1889</v>
      </c>
      <c r="X28" s="499">
        <f t="shared" si="7"/>
        <v>383</v>
      </c>
      <c r="Y28" s="499">
        <f t="shared" si="7"/>
        <v>15</v>
      </c>
      <c r="Z28" s="502">
        <f t="shared" si="7"/>
        <v>24</v>
      </c>
    </row>
    <row r="29" spans="1:26" ht="15" customHeight="1">
      <c r="A29" s="718"/>
      <c r="B29" s="716"/>
      <c r="C29" s="393" t="s">
        <v>577</v>
      </c>
      <c r="D29" s="498">
        <f t="shared" si="0"/>
        <v>11290</v>
      </c>
      <c r="E29" s="499">
        <f>SUM(F29:Y29)</f>
        <v>11273</v>
      </c>
      <c r="F29" s="499">
        <v>25</v>
      </c>
      <c r="G29" s="499">
        <v>29</v>
      </c>
      <c r="H29" s="499">
        <v>374</v>
      </c>
      <c r="I29" s="499">
        <v>613</v>
      </c>
      <c r="J29" s="499">
        <v>240</v>
      </c>
      <c r="K29" s="499">
        <v>138</v>
      </c>
      <c r="L29" s="499">
        <v>201</v>
      </c>
      <c r="M29" s="499">
        <v>49</v>
      </c>
      <c r="N29" s="499">
        <v>13</v>
      </c>
      <c r="O29" s="499">
        <v>806</v>
      </c>
      <c r="P29" s="499">
        <v>665</v>
      </c>
      <c r="Q29" s="499">
        <v>2088</v>
      </c>
      <c r="R29" s="499">
        <v>1467</v>
      </c>
      <c r="S29" s="499">
        <v>2517</v>
      </c>
      <c r="T29" s="499">
        <v>647</v>
      </c>
      <c r="U29" s="499">
        <v>5</v>
      </c>
      <c r="V29" s="500" t="s">
        <v>60</v>
      </c>
      <c r="W29" s="499">
        <v>1154</v>
      </c>
      <c r="X29" s="499">
        <v>231</v>
      </c>
      <c r="Y29" s="499">
        <v>11</v>
      </c>
      <c r="Z29" s="502">
        <v>17</v>
      </c>
    </row>
    <row r="30" spans="1:26" ht="15" customHeight="1">
      <c r="A30" s="718"/>
      <c r="B30" s="716"/>
      <c r="C30" s="393" t="s">
        <v>580</v>
      </c>
      <c r="D30" s="498">
        <f t="shared" si="0"/>
        <v>8194</v>
      </c>
      <c r="E30" s="499">
        <f>SUM(F30:Y30)</f>
        <v>8187</v>
      </c>
      <c r="F30" s="499">
        <v>36</v>
      </c>
      <c r="G30" s="499">
        <v>26</v>
      </c>
      <c r="H30" s="499">
        <v>329</v>
      </c>
      <c r="I30" s="499">
        <v>447</v>
      </c>
      <c r="J30" s="499">
        <v>220</v>
      </c>
      <c r="K30" s="499">
        <v>109</v>
      </c>
      <c r="L30" s="499">
        <v>174</v>
      </c>
      <c r="M30" s="499">
        <v>44</v>
      </c>
      <c r="N30" s="499">
        <v>19</v>
      </c>
      <c r="O30" s="499">
        <v>653</v>
      </c>
      <c r="P30" s="499">
        <v>515</v>
      </c>
      <c r="Q30" s="499">
        <v>1535</v>
      </c>
      <c r="R30" s="499">
        <v>1030</v>
      </c>
      <c r="S30" s="499">
        <v>1604</v>
      </c>
      <c r="T30" s="499">
        <v>553</v>
      </c>
      <c r="U30" s="499">
        <v>1</v>
      </c>
      <c r="V30" s="499">
        <v>1</v>
      </c>
      <c r="W30" s="499">
        <v>735</v>
      </c>
      <c r="X30" s="499">
        <v>152</v>
      </c>
      <c r="Y30" s="499">
        <v>4</v>
      </c>
      <c r="Z30" s="499">
        <v>7</v>
      </c>
    </row>
    <row r="31" spans="1:26" ht="15" customHeight="1">
      <c r="A31" s="718"/>
      <c r="B31" s="715" t="s">
        <v>579</v>
      </c>
      <c r="C31" s="393" t="s">
        <v>27</v>
      </c>
      <c r="D31" s="498">
        <f>E31+Z31</f>
        <v>22060</v>
      </c>
      <c r="E31" s="499">
        <f aca="true" t="shared" si="8" ref="E31:Z31">E32+E33</f>
        <v>21962</v>
      </c>
      <c r="F31" s="499">
        <f t="shared" si="8"/>
        <v>42</v>
      </c>
      <c r="G31" s="499">
        <f t="shared" si="8"/>
        <v>39</v>
      </c>
      <c r="H31" s="499">
        <f t="shared" si="8"/>
        <v>879</v>
      </c>
      <c r="I31" s="499">
        <f t="shared" si="8"/>
        <v>1001</v>
      </c>
      <c r="J31" s="499">
        <f t="shared" si="8"/>
        <v>458</v>
      </c>
      <c r="K31" s="499">
        <f t="shared" si="8"/>
        <v>219</v>
      </c>
      <c r="L31" s="499">
        <f t="shared" si="8"/>
        <v>536</v>
      </c>
      <c r="M31" s="499">
        <f t="shared" si="8"/>
        <v>91</v>
      </c>
      <c r="N31" s="499">
        <f t="shared" si="8"/>
        <v>329</v>
      </c>
      <c r="O31" s="499">
        <f t="shared" si="8"/>
        <v>1477</v>
      </c>
      <c r="P31" s="499">
        <f t="shared" si="8"/>
        <v>1170</v>
      </c>
      <c r="Q31" s="499">
        <f t="shared" si="8"/>
        <v>3744</v>
      </c>
      <c r="R31" s="499">
        <f t="shared" si="8"/>
        <v>2115</v>
      </c>
      <c r="S31" s="499">
        <f t="shared" si="8"/>
        <v>4633</v>
      </c>
      <c r="T31" s="499">
        <f t="shared" si="8"/>
        <v>1049</v>
      </c>
      <c r="U31" s="499">
        <f t="shared" si="8"/>
        <v>6</v>
      </c>
      <c r="V31" s="500" t="s">
        <v>60</v>
      </c>
      <c r="W31" s="499">
        <f t="shared" si="8"/>
        <v>3575</v>
      </c>
      <c r="X31" s="499">
        <f t="shared" si="8"/>
        <v>568</v>
      </c>
      <c r="Y31" s="499">
        <f t="shared" si="8"/>
        <v>31</v>
      </c>
      <c r="Z31" s="502">
        <f t="shared" si="8"/>
        <v>98</v>
      </c>
    </row>
    <row r="32" spans="1:26" ht="15" customHeight="1">
      <c r="A32" s="718"/>
      <c r="B32" s="716"/>
      <c r="C32" s="393" t="s">
        <v>577</v>
      </c>
      <c r="D32" s="498">
        <f>E32+Z32</f>
        <v>11880</v>
      </c>
      <c r="E32" s="499">
        <f>SUM(F32:Y32)</f>
        <v>11812</v>
      </c>
      <c r="F32" s="501">
        <v>25</v>
      </c>
      <c r="G32" s="501">
        <v>20</v>
      </c>
      <c r="H32" s="501">
        <v>455</v>
      </c>
      <c r="I32" s="501">
        <v>580</v>
      </c>
      <c r="J32" s="501">
        <v>269</v>
      </c>
      <c r="K32" s="501">
        <v>128</v>
      </c>
      <c r="L32" s="501">
        <v>252</v>
      </c>
      <c r="M32" s="501">
        <v>45</v>
      </c>
      <c r="N32" s="501">
        <v>160</v>
      </c>
      <c r="O32" s="501">
        <v>864</v>
      </c>
      <c r="P32" s="501">
        <v>642</v>
      </c>
      <c r="Q32" s="501">
        <v>2160</v>
      </c>
      <c r="R32" s="501">
        <v>1156</v>
      </c>
      <c r="S32" s="501">
        <v>2452</v>
      </c>
      <c r="T32" s="502">
        <v>556</v>
      </c>
      <c r="U32" s="502">
        <v>4</v>
      </c>
      <c r="V32" s="503" t="s">
        <v>653</v>
      </c>
      <c r="W32" s="501">
        <v>1709</v>
      </c>
      <c r="X32" s="501">
        <v>314</v>
      </c>
      <c r="Y32" s="501">
        <v>21</v>
      </c>
      <c r="Z32" s="502">
        <v>68</v>
      </c>
    </row>
    <row r="33" spans="1:26" ht="15" customHeight="1">
      <c r="A33" s="718"/>
      <c r="B33" s="716"/>
      <c r="C33" s="393" t="s">
        <v>580</v>
      </c>
      <c r="D33" s="498">
        <f>E33+Z33</f>
        <v>10180</v>
      </c>
      <c r="E33" s="499">
        <f>SUM(F33:Y33)</f>
        <v>10150</v>
      </c>
      <c r="F33" s="501">
        <v>17</v>
      </c>
      <c r="G33" s="501">
        <v>19</v>
      </c>
      <c r="H33" s="501">
        <v>424</v>
      </c>
      <c r="I33" s="501">
        <v>421</v>
      </c>
      <c r="J33" s="501">
        <v>189</v>
      </c>
      <c r="K33" s="501">
        <v>91</v>
      </c>
      <c r="L33" s="501">
        <v>284</v>
      </c>
      <c r="M33" s="501">
        <v>46</v>
      </c>
      <c r="N33" s="501">
        <v>169</v>
      </c>
      <c r="O33" s="501">
        <v>613</v>
      </c>
      <c r="P33" s="501">
        <v>528</v>
      </c>
      <c r="Q33" s="501">
        <v>1584</v>
      </c>
      <c r="R33" s="501">
        <v>959</v>
      </c>
      <c r="S33" s="501">
        <v>2181</v>
      </c>
      <c r="T33" s="501">
        <v>493</v>
      </c>
      <c r="U33" s="501">
        <v>2</v>
      </c>
      <c r="V33" s="500" t="s">
        <v>653</v>
      </c>
      <c r="W33" s="501">
        <v>1866</v>
      </c>
      <c r="X33" s="501">
        <v>254</v>
      </c>
      <c r="Y33" s="501">
        <v>10</v>
      </c>
      <c r="Z33" s="499">
        <v>30</v>
      </c>
    </row>
    <row r="34" spans="1:26" ht="15" customHeight="1">
      <c r="A34" s="717" t="s">
        <v>569</v>
      </c>
      <c r="B34" s="715" t="s">
        <v>581</v>
      </c>
      <c r="C34" s="393" t="s">
        <v>27</v>
      </c>
      <c r="D34" s="498">
        <f t="shared" si="0"/>
        <v>20321</v>
      </c>
      <c r="E34" s="499">
        <f>SUM(F34:Y34)</f>
        <v>20299</v>
      </c>
      <c r="F34" s="499">
        <f aca="true" t="shared" si="9" ref="F34:Z34">F35+F36</f>
        <v>64</v>
      </c>
      <c r="G34" s="499">
        <f t="shared" si="9"/>
        <v>66</v>
      </c>
      <c r="H34" s="499">
        <f t="shared" si="9"/>
        <v>835</v>
      </c>
      <c r="I34" s="499">
        <f t="shared" si="9"/>
        <v>1229</v>
      </c>
      <c r="J34" s="499">
        <f>J35+J36</f>
        <v>486</v>
      </c>
      <c r="K34" s="499">
        <f t="shared" si="9"/>
        <v>255</v>
      </c>
      <c r="L34" s="499">
        <f t="shared" si="9"/>
        <v>377</v>
      </c>
      <c r="M34" s="499">
        <f t="shared" si="9"/>
        <v>92</v>
      </c>
      <c r="N34" s="499">
        <f t="shared" si="9"/>
        <v>34</v>
      </c>
      <c r="O34" s="499">
        <f t="shared" si="9"/>
        <v>1489</v>
      </c>
      <c r="P34" s="499">
        <f t="shared" si="9"/>
        <v>1199</v>
      </c>
      <c r="Q34" s="499">
        <f t="shared" si="9"/>
        <v>3829</v>
      </c>
      <c r="R34" s="499">
        <f t="shared" si="9"/>
        <v>2683</v>
      </c>
      <c r="S34" s="499">
        <f t="shared" si="9"/>
        <v>4225</v>
      </c>
      <c r="T34" s="499">
        <f t="shared" si="9"/>
        <v>1161</v>
      </c>
      <c r="U34" s="499">
        <f t="shared" si="9"/>
        <v>5</v>
      </c>
      <c r="V34" s="499">
        <f>V36</f>
        <v>1</v>
      </c>
      <c r="W34" s="499">
        <f t="shared" si="9"/>
        <v>1862</v>
      </c>
      <c r="X34" s="499">
        <f t="shared" si="9"/>
        <v>392</v>
      </c>
      <c r="Y34" s="499">
        <f t="shared" si="9"/>
        <v>15</v>
      </c>
      <c r="Z34" s="502">
        <f t="shared" si="9"/>
        <v>22</v>
      </c>
    </row>
    <row r="35" spans="1:26" ht="15" customHeight="1">
      <c r="A35" s="718"/>
      <c r="B35" s="716"/>
      <c r="C35" s="393" t="s">
        <v>577</v>
      </c>
      <c r="D35" s="498">
        <f t="shared" si="0"/>
        <v>11804</v>
      </c>
      <c r="E35" s="499">
        <f>SUM(F35:Y35)</f>
        <v>11788</v>
      </c>
      <c r="F35" s="499">
        <v>28</v>
      </c>
      <c r="G35" s="499">
        <v>34</v>
      </c>
      <c r="H35" s="499">
        <v>455</v>
      </c>
      <c r="I35" s="499">
        <v>712</v>
      </c>
      <c r="J35" s="499">
        <v>251</v>
      </c>
      <c r="K35" s="499">
        <v>147</v>
      </c>
      <c r="L35" s="499">
        <v>199</v>
      </c>
      <c r="M35" s="499">
        <v>48</v>
      </c>
      <c r="N35" s="499">
        <v>15</v>
      </c>
      <c r="O35" s="499">
        <v>827</v>
      </c>
      <c r="P35" s="499">
        <v>692</v>
      </c>
      <c r="Q35" s="499">
        <v>2209</v>
      </c>
      <c r="R35" s="499">
        <v>1557</v>
      </c>
      <c r="S35" s="499">
        <v>2582</v>
      </c>
      <c r="T35" s="499">
        <v>639</v>
      </c>
      <c r="U35" s="499">
        <v>4</v>
      </c>
      <c r="V35" s="500" t="s">
        <v>60</v>
      </c>
      <c r="W35" s="499">
        <v>1142</v>
      </c>
      <c r="X35" s="499">
        <v>236</v>
      </c>
      <c r="Y35" s="499">
        <v>11</v>
      </c>
      <c r="Z35" s="502">
        <v>16</v>
      </c>
    </row>
    <row r="36" spans="1:26" ht="15" customHeight="1">
      <c r="A36" s="718"/>
      <c r="B36" s="716"/>
      <c r="C36" s="393" t="s">
        <v>580</v>
      </c>
      <c r="D36" s="498">
        <f t="shared" si="0"/>
        <v>8517</v>
      </c>
      <c r="E36" s="499">
        <f>SUM(F36:Y36)</f>
        <v>8511</v>
      </c>
      <c r="F36" s="499">
        <v>36</v>
      </c>
      <c r="G36" s="499">
        <v>32</v>
      </c>
      <c r="H36" s="499">
        <v>380</v>
      </c>
      <c r="I36" s="499">
        <v>517</v>
      </c>
      <c r="J36" s="499">
        <v>235</v>
      </c>
      <c r="K36" s="499">
        <v>108</v>
      </c>
      <c r="L36" s="499">
        <v>178</v>
      </c>
      <c r="M36" s="499">
        <v>44</v>
      </c>
      <c r="N36" s="499">
        <v>19</v>
      </c>
      <c r="O36" s="499">
        <v>662</v>
      </c>
      <c r="P36" s="499">
        <v>507</v>
      </c>
      <c r="Q36" s="499">
        <v>1620</v>
      </c>
      <c r="R36" s="499">
        <v>1126</v>
      </c>
      <c r="S36" s="499">
        <v>1643</v>
      </c>
      <c r="T36" s="499">
        <v>522</v>
      </c>
      <c r="U36" s="499">
        <v>1</v>
      </c>
      <c r="V36" s="499">
        <v>1</v>
      </c>
      <c r="W36" s="499">
        <v>720</v>
      </c>
      <c r="X36" s="499">
        <v>156</v>
      </c>
      <c r="Y36" s="499">
        <v>4</v>
      </c>
      <c r="Z36" s="499">
        <v>6</v>
      </c>
    </row>
    <row r="37" spans="1:26" ht="15" customHeight="1">
      <c r="A37" s="718"/>
      <c r="B37" s="715" t="s">
        <v>579</v>
      </c>
      <c r="C37" s="393" t="s">
        <v>27</v>
      </c>
      <c r="D37" s="498">
        <f t="shared" si="0"/>
        <v>23013</v>
      </c>
      <c r="E37" s="499">
        <f aca="true" t="shared" si="10" ref="E37:Z37">E38+E39</f>
        <v>22914</v>
      </c>
      <c r="F37" s="499">
        <f t="shared" si="10"/>
        <v>46</v>
      </c>
      <c r="G37" s="499">
        <f t="shared" si="10"/>
        <v>51</v>
      </c>
      <c r="H37" s="499">
        <f t="shared" si="10"/>
        <v>1044</v>
      </c>
      <c r="I37" s="499">
        <f t="shared" si="10"/>
        <v>1239</v>
      </c>
      <c r="J37" s="499">
        <f t="shared" si="10"/>
        <v>492</v>
      </c>
      <c r="K37" s="499">
        <f t="shared" si="10"/>
        <v>232</v>
      </c>
      <c r="L37" s="499">
        <f t="shared" si="10"/>
        <v>571</v>
      </c>
      <c r="M37" s="499">
        <f t="shared" si="10"/>
        <v>89</v>
      </c>
      <c r="N37" s="499">
        <f t="shared" si="10"/>
        <v>345</v>
      </c>
      <c r="O37" s="499">
        <f t="shared" si="10"/>
        <v>1508</v>
      </c>
      <c r="P37" s="499">
        <f t="shared" si="10"/>
        <v>1188</v>
      </c>
      <c r="Q37" s="499">
        <f t="shared" si="10"/>
        <v>3937</v>
      </c>
      <c r="R37" s="499">
        <f t="shared" si="10"/>
        <v>2310</v>
      </c>
      <c r="S37" s="499">
        <f t="shared" si="10"/>
        <v>4677</v>
      </c>
      <c r="T37" s="499">
        <f t="shared" si="10"/>
        <v>996</v>
      </c>
      <c r="U37" s="499">
        <f t="shared" si="10"/>
        <v>6</v>
      </c>
      <c r="V37" s="500" t="s">
        <v>60</v>
      </c>
      <c r="W37" s="499">
        <f t="shared" si="10"/>
        <v>3587</v>
      </c>
      <c r="X37" s="499">
        <f t="shared" si="10"/>
        <v>567</v>
      </c>
      <c r="Y37" s="499">
        <f t="shared" si="10"/>
        <v>29</v>
      </c>
      <c r="Z37" s="502">
        <f t="shared" si="10"/>
        <v>99</v>
      </c>
    </row>
    <row r="38" spans="1:26" ht="15" customHeight="1">
      <c r="A38" s="718"/>
      <c r="B38" s="716"/>
      <c r="C38" s="393" t="s">
        <v>577</v>
      </c>
      <c r="D38" s="498">
        <f t="shared" si="0"/>
        <v>12411</v>
      </c>
      <c r="E38" s="499">
        <f>SUM(F38:Y38)</f>
        <v>12344</v>
      </c>
      <c r="F38" s="501">
        <v>22</v>
      </c>
      <c r="G38" s="501">
        <v>28</v>
      </c>
      <c r="H38" s="501">
        <v>547</v>
      </c>
      <c r="I38" s="501">
        <v>705</v>
      </c>
      <c r="J38" s="501">
        <v>283</v>
      </c>
      <c r="K38" s="501">
        <v>135</v>
      </c>
      <c r="L38" s="501">
        <v>270</v>
      </c>
      <c r="M38" s="501">
        <v>45</v>
      </c>
      <c r="N38" s="501">
        <v>173</v>
      </c>
      <c r="O38" s="501">
        <v>893</v>
      </c>
      <c r="P38" s="501">
        <v>647</v>
      </c>
      <c r="Q38" s="501">
        <v>2258</v>
      </c>
      <c r="R38" s="501">
        <v>1263</v>
      </c>
      <c r="S38" s="501">
        <v>2491</v>
      </c>
      <c r="T38" s="502">
        <v>532</v>
      </c>
      <c r="U38" s="502">
        <v>4</v>
      </c>
      <c r="V38" s="503" t="s">
        <v>653</v>
      </c>
      <c r="W38" s="501">
        <v>1708</v>
      </c>
      <c r="X38" s="501">
        <v>320</v>
      </c>
      <c r="Y38" s="501">
        <v>20</v>
      </c>
      <c r="Z38" s="502">
        <v>67</v>
      </c>
    </row>
    <row r="39" spans="1:26" ht="15" customHeight="1">
      <c r="A39" s="718"/>
      <c r="B39" s="716"/>
      <c r="C39" s="393" t="s">
        <v>580</v>
      </c>
      <c r="D39" s="498">
        <f t="shared" si="0"/>
        <v>10602</v>
      </c>
      <c r="E39" s="499">
        <f>SUM(F39:Y39)</f>
        <v>10570</v>
      </c>
      <c r="F39" s="501">
        <v>24</v>
      </c>
      <c r="G39" s="501">
        <v>23</v>
      </c>
      <c r="H39" s="501">
        <v>497</v>
      </c>
      <c r="I39" s="501">
        <v>534</v>
      </c>
      <c r="J39" s="501">
        <v>209</v>
      </c>
      <c r="K39" s="501">
        <v>97</v>
      </c>
      <c r="L39" s="501">
        <v>301</v>
      </c>
      <c r="M39" s="501">
        <v>44</v>
      </c>
      <c r="N39" s="501">
        <v>172</v>
      </c>
      <c r="O39" s="501">
        <v>615</v>
      </c>
      <c r="P39" s="501">
        <v>541</v>
      </c>
      <c r="Q39" s="501">
        <v>1679</v>
      </c>
      <c r="R39" s="501">
        <v>1047</v>
      </c>
      <c r="S39" s="501">
        <v>2186</v>
      </c>
      <c r="T39" s="501">
        <v>464</v>
      </c>
      <c r="U39" s="501">
        <v>2</v>
      </c>
      <c r="V39" s="500" t="s">
        <v>653</v>
      </c>
      <c r="W39" s="501">
        <v>1879</v>
      </c>
      <c r="X39" s="501">
        <v>247</v>
      </c>
      <c r="Y39" s="501">
        <v>9</v>
      </c>
      <c r="Z39" s="499">
        <v>32</v>
      </c>
    </row>
    <row r="40" spans="1:26" ht="0.75" customHeight="1" thickBot="1">
      <c r="A40" s="402"/>
      <c r="B40" s="545"/>
      <c r="C40" s="546"/>
      <c r="D40" s="547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</row>
    <row r="41" spans="1:14" s="360" customFormat="1" ht="15" customHeight="1">
      <c r="A41" s="357" t="s">
        <v>38</v>
      </c>
      <c r="B41" s="358"/>
      <c r="C41" s="359"/>
      <c r="N41" s="360" t="s">
        <v>562</v>
      </c>
    </row>
  </sheetData>
  <mergeCells count="53">
    <mergeCell ref="N2:Z2"/>
    <mergeCell ref="A2:M2"/>
    <mergeCell ref="U5:V6"/>
    <mergeCell ref="E4:M4"/>
    <mergeCell ref="S4:T4"/>
    <mergeCell ref="W5:X6"/>
    <mergeCell ref="Y5:Y7"/>
    <mergeCell ref="J6:K6"/>
    <mergeCell ref="A7:A8"/>
    <mergeCell ref="C7:C9"/>
    <mergeCell ref="Z4:Z7"/>
    <mergeCell ref="A5:A6"/>
    <mergeCell ref="C5:C6"/>
    <mergeCell ref="D5:D6"/>
    <mergeCell ref="E5:E6"/>
    <mergeCell ref="F5:G6"/>
    <mergeCell ref="H5:I6"/>
    <mergeCell ref="O5:P6"/>
    <mergeCell ref="Q5:R6"/>
    <mergeCell ref="S5:T6"/>
    <mergeCell ref="A34:A39"/>
    <mergeCell ref="B10:B12"/>
    <mergeCell ref="B13:B15"/>
    <mergeCell ref="B16:B18"/>
    <mergeCell ref="B19:B21"/>
    <mergeCell ref="B22:B24"/>
    <mergeCell ref="B25:B27"/>
    <mergeCell ref="B28:B30"/>
    <mergeCell ref="B31:B33"/>
    <mergeCell ref="A10:A15"/>
    <mergeCell ref="V7:V8"/>
    <mergeCell ref="W7:W8"/>
    <mergeCell ref="P7:P8"/>
    <mergeCell ref="Q7:Q8"/>
    <mergeCell ref="R7:R8"/>
    <mergeCell ref="A16:A21"/>
    <mergeCell ref="A22:A27"/>
    <mergeCell ref="A28:A33"/>
    <mergeCell ref="I7:I8"/>
    <mergeCell ref="D7:D9"/>
    <mergeCell ref="F7:F8"/>
    <mergeCell ref="G7:G8"/>
    <mergeCell ref="H7:H8"/>
    <mergeCell ref="B34:B36"/>
    <mergeCell ref="B37:B39"/>
    <mergeCell ref="X7:X8"/>
    <mergeCell ref="T7:T8"/>
    <mergeCell ref="U7:U8"/>
    <mergeCell ref="J7:J8"/>
    <mergeCell ref="K7:K8"/>
    <mergeCell ref="L7:M7"/>
    <mergeCell ref="O7:O8"/>
    <mergeCell ref="S7:S8"/>
  </mergeCells>
  <printOptions horizontalCentered="1"/>
  <pageMargins left="1.1023622047244095" right="1.1023622047244095" top="1.5748031496062993" bottom="1.5748031496062993" header="0.5118110236220472" footer="0.9055118110236221"/>
  <pageSetup firstPageNumber="5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="120" zoomScaleNormal="120" zoomScaleSheetLayoutView="100" workbookViewId="0" topLeftCell="A1">
      <selection activeCell="M15" sqref="M15"/>
    </sheetView>
  </sheetViews>
  <sheetFormatPr defaultColWidth="9.00390625" defaultRowHeight="16.5"/>
  <cols>
    <col min="1" max="1" width="8.625" style="340" customWidth="1"/>
    <col min="2" max="2" width="4.875" style="340" customWidth="1"/>
    <col min="3" max="3" width="13.875" style="340" customWidth="1"/>
    <col min="4" max="4" width="5.625" style="348" customWidth="1"/>
    <col min="5" max="5" width="4.875" style="348" customWidth="1"/>
    <col min="6" max="6" width="5.125" style="348" customWidth="1"/>
    <col min="7" max="7" width="4.625" style="348" customWidth="1"/>
    <col min="8" max="8" width="5.125" style="348" customWidth="1"/>
    <col min="9" max="9" width="4.625" style="348" customWidth="1"/>
    <col min="10" max="10" width="5.125" style="348" customWidth="1"/>
    <col min="11" max="11" width="4.625" style="348" customWidth="1"/>
    <col min="12" max="12" width="5.125" style="348" customWidth="1"/>
    <col min="13" max="13" width="4.625" style="348" customWidth="1"/>
    <col min="14" max="14" width="7.125" style="348" customWidth="1"/>
    <col min="15" max="15" width="6.125" style="348" customWidth="1"/>
    <col min="16" max="16" width="5.375" style="348" customWidth="1"/>
    <col min="17" max="17" width="6.125" style="348" customWidth="1"/>
    <col min="18" max="18" width="5.375" style="348" customWidth="1"/>
    <col min="19" max="19" width="6.125" style="348" customWidth="1"/>
    <col min="20" max="20" width="5.375" style="348" customWidth="1"/>
    <col min="21" max="21" width="6.125" style="348" customWidth="1"/>
    <col min="22" max="22" width="5.375" style="348" customWidth="1"/>
    <col min="23" max="23" width="6.125" style="348" customWidth="1"/>
    <col min="24" max="24" width="5.375" style="348" customWidth="1"/>
    <col min="25" max="26" width="6.125" style="348" customWidth="1"/>
    <col min="27" max="16384" width="9.00390625" style="348" customWidth="1"/>
  </cols>
  <sheetData>
    <row r="1" spans="1:26" s="337" customFormat="1" ht="18" customHeight="1">
      <c r="A1" s="118" t="s">
        <v>131</v>
      </c>
      <c r="B1" s="335"/>
      <c r="C1" s="335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Z1" s="338" t="s">
        <v>478</v>
      </c>
    </row>
    <row r="2" spans="1:26" s="339" customFormat="1" ht="24" customHeight="1">
      <c r="A2" s="733" t="s">
        <v>797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2" t="s">
        <v>591</v>
      </c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</row>
    <row r="3" spans="1:26" s="353" customFormat="1" ht="13.5" customHeight="1" thickBot="1">
      <c r="A3" s="361"/>
      <c r="B3" s="361"/>
      <c r="C3" s="362"/>
      <c r="D3" s="363"/>
      <c r="E3" s="364"/>
      <c r="I3" s="365"/>
      <c r="L3" s="367"/>
      <c r="M3" s="366" t="s">
        <v>583</v>
      </c>
      <c r="N3" s="368"/>
      <c r="O3" s="368"/>
      <c r="P3" s="369"/>
      <c r="Q3" s="370"/>
      <c r="R3" s="371"/>
      <c r="V3" s="369"/>
      <c r="W3" s="372"/>
      <c r="X3" s="372"/>
      <c r="Y3" s="372"/>
      <c r="Z3" s="373" t="s">
        <v>479</v>
      </c>
    </row>
    <row r="4" spans="1:26" s="278" customFormat="1" ht="12" customHeight="1">
      <c r="A4" s="341"/>
      <c r="B4" s="342"/>
      <c r="C4" s="343"/>
      <c r="D4" s="344"/>
      <c r="E4" s="634" t="s">
        <v>198</v>
      </c>
      <c r="F4" s="635"/>
      <c r="G4" s="635"/>
      <c r="H4" s="635"/>
      <c r="I4" s="635"/>
      <c r="J4" s="635"/>
      <c r="K4" s="635"/>
      <c r="L4" s="635"/>
      <c r="M4" s="635"/>
      <c r="N4" s="245"/>
      <c r="O4" s="246"/>
      <c r="P4" s="247"/>
      <c r="Q4" s="247"/>
      <c r="R4" s="247"/>
      <c r="S4" s="617" t="s">
        <v>482</v>
      </c>
      <c r="T4" s="617"/>
      <c r="U4" s="247"/>
      <c r="V4" s="355"/>
      <c r="W4" s="249"/>
      <c r="X4" s="248"/>
      <c r="Y4" s="250"/>
      <c r="Z4" s="638" t="s">
        <v>199</v>
      </c>
    </row>
    <row r="5" spans="1:26" s="278" customFormat="1" ht="12" customHeight="1">
      <c r="A5" s="724" t="s">
        <v>495</v>
      </c>
      <c r="B5" s="381"/>
      <c r="C5" s="726" t="s">
        <v>572</v>
      </c>
      <c r="D5" s="728" t="s">
        <v>210</v>
      </c>
      <c r="E5" s="630" t="s">
        <v>582</v>
      </c>
      <c r="F5" s="622" t="s">
        <v>484</v>
      </c>
      <c r="G5" s="642"/>
      <c r="H5" s="622" t="s">
        <v>485</v>
      </c>
      <c r="I5" s="642"/>
      <c r="J5" s="249"/>
      <c r="K5" s="374" t="s">
        <v>486</v>
      </c>
      <c r="L5" s="249"/>
      <c r="M5" s="252" t="s">
        <v>487</v>
      </c>
      <c r="N5" s="253"/>
      <c r="O5" s="622" t="s">
        <v>488</v>
      </c>
      <c r="P5" s="642"/>
      <c r="Q5" s="622" t="s">
        <v>489</v>
      </c>
      <c r="R5" s="642"/>
      <c r="S5" s="622" t="s">
        <v>490</v>
      </c>
      <c r="T5" s="642"/>
      <c r="U5" s="622" t="s">
        <v>491</v>
      </c>
      <c r="V5" s="642"/>
      <c r="W5" s="622" t="s">
        <v>477</v>
      </c>
      <c r="X5" s="642"/>
      <c r="Y5" s="639" t="s">
        <v>202</v>
      </c>
      <c r="Z5" s="723"/>
    </row>
    <row r="6" spans="1:26" s="278" customFormat="1" ht="21.75" customHeight="1">
      <c r="A6" s="725"/>
      <c r="B6" s="382" t="s">
        <v>200</v>
      </c>
      <c r="C6" s="727"/>
      <c r="D6" s="729"/>
      <c r="E6" s="723"/>
      <c r="F6" s="730"/>
      <c r="G6" s="731"/>
      <c r="H6" s="730"/>
      <c r="I6" s="731"/>
      <c r="J6" s="620" t="s">
        <v>492</v>
      </c>
      <c r="K6" s="621"/>
      <c r="L6" s="255" t="s">
        <v>203</v>
      </c>
      <c r="M6" s="249"/>
      <c r="N6" s="256" t="s">
        <v>125</v>
      </c>
      <c r="O6" s="730"/>
      <c r="P6" s="731"/>
      <c r="Q6" s="730"/>
      <c r="R6" s="731"/>
      <c r="S6" s="730"/>
      <c r="T6" s="731"/>
      <c r="U6" s="730"/>
      <c r="V6" s="731"/>
      <c r="W6" s="730"/>
      <c r="X6" s="731"/>
      <c r="Y6" s="640"/>
      <c r="Z6" s="723"/>
    </row>
    <row r="7" spans="1:26" s="278" customFormat="1" ht="21.75" customHeight="1">
      <c r="A7" s="655" t="s">
        <v>563</v>
      </c>
      <c r="B7" s="381" t="s">
        <v>474</v>
      </c>
      <c r="C7" s="734" t="s">
        <v>564</v>
      </c>
      <c r="D7" s="719" t="s">
        <v>207</v>
      </c>
      <c r="E7" s="254"/>
      <c r="F7" s="618" t="s">
        <v>128</v>
      </c>
      <c r="G7" s="618" t="s">
        <v>166</v>
      </c>
      <c r="H7" s="618" t="s">
        <v>128</v>
      </c>
      <c r="I7" s="618" t="s">
        <v>166</v>
      </c>
      <c r="J7" s="618" t="s">
        <v>128</v>
      </c>
      <c r="K7" s="618" t="s">
        <v>166</v>
      </c>
      <c r="L7" s="620" t="s">
        <v>28</v>
      </c>
      <c r="M7" s="621"/>
      <c r="N7" s="258" t="s">
        <v>475</v>
      </c>
      <c r="O7" s="618" t="s">
        <v>128</v>
      </c>
      <c r="P7" s="618" t="s">
        <v>166</v>
      </c>
      <c r="Q7" s="618" t="s">
        <v>128</v>
      </c>
      <c r="R7" s="618" t="s">
        <v>166</v>
      </c>
      <c r="S7" s="618" t="s">
        <v>128</v>
      </c>
      <c r="T7" s="618" t="s">
        <v>166</v>
      </c>
      <c r="U7" s="618" t="s">
        <v>128</v>
      </c>
      <c r="V7" s="618" t="s">
        <v>166</v>
      </c>
      <c r="W7" s="618" t="s">
        <v>128</v>
      </c>
      <c r="X7" s="618" t="s">
        <v>166</v>
      </c>
      <c r="Y7" s="640"/>
      <c r="Z7" s="723"/>
    </row>
    <row r="8" spans="1:26" s="278" customFormat="1" ht="12" customHeight="1">
      <c r="A8" s="655"/>
      <c r="B8" s="381"/>
      <c r="C8" s="734"/>
      <c r="D8" s="719"/>
      <c r="E8" s="254"/>
      <c r="F8" s="619"/>
      <c r="G8" s="619"/>
      <c r="H8" s="619"/>
      <c r="I8" s="619"/>
      <c r="J8" s="619"/>
      <c r="K8" s="619"/>
      <c r="L8" s="257" t="s">
        <v>128</v>
      </c>
      <c r="M8" s="257" t="s">
        <v>166</v>
      </c>
      <c r="N8" s="259" t="s">
        <v>166</v>
      </c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45" t="s">
        <v>441</v>
      </c>
      <c r="Z8" s="536"/>
    </row>
    <row r="9" spans="1:26" s="279" customFormat="1" ht="12" customHeight="1" thickBot="1">
      <c r="A9" s="297"/>
      <c r="B9" s="383"/>
      <c r="C9" s="735"/>
      <c r="D9" s="720"/>
      <c r="E9" s="377" t="s">
        <v>208</v>
      </c>
      <c r="F9" s="376" t="s">
        <v>124</v>
      </c>
      <c r="G9" s="376" t="s">
        <v>209</v>
      </c>
      <c r="H9" s="376" t="s">
        <v>124</v>
      </c>
      <c r="I9" s="376" t="s">
        <v>209</v>
      </c>
      <c r="J9" s="376" t="s">
        <v>124</v>
      </c>
      <c r="K9" s="376" t="s">
        <v>209</v>
      </c>
      <c r="L9" s="375" t="s">
        <v>124</v>
      </c>
      <c r="M9" s="376" t="s">
        <v>209</v>
      </c>
      <c r="N9" s="262" t="s">
        <v>209</v>
      </c>
      <c r="O9" s="262" t="s">
        <v>124</v>
      </c>
      <c r="P9" s="262" t="s">
        <v>209</v>
      </c>
      <c r="Q9" s="262" t="s">
        <v>124</v>
      </c>
      <c r="R9" s="262" t="s">
        <v>209</v>
      </c>
      <c r="S9" s="262" t="s">
        <v>124</v>
      </c>
      <c r="T9" s="262" t="s">
        <v>209</v>
      </c>
      <c r="U9" s="262" t="s">
        <v>124</v>
      </c>
      <c r="V9" s="262" t="s">
        <v>209</v>
      </c>
      <c r="W9" s="262" t="s">
        <v>124</v>
      </c>
      <c r="X9" s="262" t="s">
        <v>209</v>
      </c>
      <c r="Y9" s="736"/>
      <c r="Z9" s="537" t="s">
        <v>126</v>
      </c>
    </row>
    <row r="10" spans="1:26" s="345" customFormat="1" ht="12" customHeight="1">
      <c r="A10" s="722" t="s">
        <v>592</v>
      </c>
      <c r="B10" s="721" t="s">
        <v>584</v>
      </c>
      <c r="C10" s="391" t="s">
        <v>27</v>
      </c>
      <c r="D10" s="507">
        <v>21211</v>
      </c>
      <c r="E10" s="508">
        <v>21187</v>
      </c>
      <c r="F10" s="508">
        <v>67</v>
      </c>
      <c r="G10" s="508">
        <v>67</v>
      </c>
      <c r="H10" s="508">
        <v>875</v>
      </c>
      <c r="I10" s="508">
        <v>1239</v>
      </c>
      <c r="J10" s="508">
        <v>503</v>
      </c>
      <c r="K10" s="508">
        <v>262</v>
      </c>
      <c r="L10" s="508">
        <v>367</v>
      </c>
      <c r="M10" s="508">
        <v>88</v>
      </c>
      <c r="N10" s="508">
        <v>37</v>
      </c>
      <c r="O10" s="508">
        <v>1541</v>
      </c>
      <c r="P10" s="508">
        <v>1199</v>
      </c>
      <c r="Q10" s="508">
        <v>3986</v>
      </c>
      <c r="R10" s="508">
        <v>2769</v>
      </c>
      <c r="S10" s="508">
        <v>4718</v>
      </c>
      <c r="T10" s="508">
        <v>1224</v>
      </c>
      <c r="U10" s="508">
        <v>5</v>
      </c>
      <c r="V10" s="508">
        <v>1</v>
      </c>
      <c r="W10" s="508">
        <v>1843</v>
      </c>
      <c r="X10" s="508">
        <v>382</v>
      </c>
      <c r="Y10" s="508">
        <v>14</v>
      </c>
      <c r="Z10" s="509">
        <v>24</v>
      </c>
    </row>
    <row r="11" spans="1:26" s="345" customFormat="1" ht="12" customHeight="1">
      <c r="A11" s="718"/>
      <c r="B11" s="716"/>
      <c r="C11" s="393" t="s">
        <v>577</v>
      </c>
      <c r="D11" s="380">
        <v>12310</v>
      </c>
      <c r="E11" s="510">
        <v>12294</v>
      </c>
      <c r="F11" s="510">
        <v>28</v>
      </c>
      <c r="G11" s="510">
        <v>35</v>
      </c>
      <c r="H11" s="510">
        <v>476</v>
      </c>
      <c r="I11" s="510">
        <v>732</v>
      </c>
      <c r="J11" s="510">
        <v>267</v>
      </c>
      <c r="K11" s="510">
        <v>147</v>
      </c>
      <c r="L11" s="510">
        <v>194</v>
      </c>
      <c r="M11" s="510">
        <v>47</v>
      </c>
      <c r="N11" s="510">
        <v>18</v>
      </c>
      <c r="O11" s="510">
        <v>858</v>
      </c>
      <c r="P11" s="510">
        <v>689</v>
      </c>
      <c r="Q11" s="510">
        <v>2275</v>
      </c>
      <c r="R11" s="510">
        <v>1588</v>
      </c>
      <c r="S11" s="510">
        <v>2899</v>
      </c>
      <c r="T11" s="510">
        <v>655</v>
      </c>
      <c r="U11" s="510">
        <v>4</v>
      </c>
      <c r="V11" s="511" t="s">
        <v>656</v>
      </c>
      <c r="W11" s="510">
        <v>1132</v>
      </c>
      <c r="X11" s="510">
        <v>240</v>
      </c>
      <c r="Y11" s="510">
        <v>10</v>
      </c>
      <c r="Z11" s="512">
        <v>16</v>
      </c>
    </row>
    <row r="12" spans="1:26" s="346" customFormat="1" ht="12" customHeight="1">
      <c r="A12" s="718"/>
      <c r="B12" s="716"/>
      <c r="C12" s="393" t="s">
        <v>578</v>
      </c>
      <c r="D12" s="380">
        <v>8901</v>
      </c>
      <c r="E12" s="510">
        <v>8893</v>
      </c>
      <c r="F12" s="510">
        <v>39</v>
      </c>
      <c r="G12" s="510">
        <v>32</v>
      </c>
      <c r="H12" s="510">
        <v>399</v>
      </c>
      <c r="I12" s="510">
        <v>507</v>
      </c>
      <c r="J12" s="510">
        <v>236</v>
      </c>
      <c r="K12" s="510">
        <v>115</v>
      </c>
      <c r="L12" s="510">
        <v>173</v>
      </c>
      <c r="M12" s="510">
        <v>41</v>
      </c>
      <c r="N12" s="510">
        <v>19</v>
      </c>
      <c r="O12" s="510">
        <v>683</v>
      </c>
      <c r="P12" s="510">
        <v>510</v>
      </c>
      <c r="Q12" s="510">
        <v>1711</v>
      </c>
      <c r="R12" s="510">
        <v>1181</v>
      </c>
      <c r="S12" s="510">
        <v>1819</v>
      </c>
      <c r="T12" s="510">
        <v>569</v>
      </c>
      <c r="U12" s="510">
        <v>1</v>
      </c>
      <c r="V12" s="510">
        <v>1</v>
      </c>
      <c r="W12" s="510">
        <v>711</v>
      </c>
      <c r="X12" s="510">
        <v>142</v>
      </c>
      <c r="Y12" s="510">
        <v>4</v>
      </c>
      <c r="Z12" s="513">
        <v>8</v>
      </c>
    </row>
    <row r="13" spans="1:26" s="347" customFormat="1" ht="12" customHeight="1">
      <c r="A13" s="718"/>
      <c r="B13" s="715" t="s">
        <v>579</v>
      </c>
      <c r="C13" s="393" t="s">
        <v>27</v>
      </c>
      <c r="D13" s="380">
        <v>23990</v>
      </c>
      <c r="E13" s="510">
        <v>23890</v>
      </c>
      <c r="F13" s="510">
        <v>46</v>
      </c>
      <c r="G13" s="510">
        <v>54</v>
      </c>
      <c r="H13" s="510">
        <v>1112</v>
      </c>
      <c r="I13" s="510">
        <v>1232</v>
      </c>
      <c r="J13" s="510">
        <v>510</v>
      </c>
      <c r="K13" s="510">
        <v>232</v>
      </c>
      <c r="L13" s="510">
        <v>571</v>
      </c>
      <c r="M13" s="510">
        <v>86</v>
      </c>
      <c r="N13" s="510">
        <v>369</v>
      </c>
      <c r="O13" s="510">
        <v>1575</v>
      </c>
      <c r="P13" s="510">
        <v>1175</v>
      </c>
      <c r="Q13" s="510">
        <v>4136</v>
      </c>
      <c r="R13" s="510">
        <v>2388</v>
      </c>
      <c r="S13" s="510">
        <v>5197</v>
      </c>
      <c r="T13" s="510">
        <v>1052</v>
      </c>
      <c r="U13" s="510">
        <v>6</v>
      </c>
      <c r="V13" s="511" t="s">
        <v>655</v>
      </c>
      <c r="W13" s="510">
        <v>3572</v>
      </c>
      <c r="X13" s="510">
        <v>549</v>
      </c>
      <c r="Y13" s="510">
        <v>28</v>
      </c>
      <c r="Z13" s="512">
        <v>100</v>
      </c>
    </row>
    <row r="14" spans="1:26" ht="12" customHeight="1">
      <c r="A14" s="718"/>
      <c r="B14" s="716"/>
      <c r="C14" s="393" t="s">
        <v>577</v>
      </c>
      <c r="D14" s="380">
        <v>12978</v>
      </c>
      <c r="E14" s="510">
        <v>12912</v>
      </c>
      <c r="F14" s="514">
        <v>18</v>
      </c>
      <c r="G14" s="514">
        <v>28</v>
      </c>
      <c r="H14" s="514">
        <v>584</v>
      </c>
      <c r="I14" s="514">
        <v>712</v>
      </c>
      <c r="J14" s="514">
        <v>291</v>
      </c>
      <c r="K14" s="514">
        <v>136</v>
      </c>
      <c r="L14" s="514">
        <v>273</v>
      </c>
      <c r="M14" s="514">
        <v>43</v>
      </c>
      <c r="N14" s="514">
        <v>178</v>
      </c>
      <c r="O14" s="514">
        <v>924</v>
      </c>
      <c r="P14" s="514">
        <v>639</v>
      </c>
      <c r="Q14" s="514">
        <v>2385</v>
      </c>
      <c r="R14" s="514">
        <v>1298</v>
      </c>
      <c r="S14" s="514">
        <v>2815</v>
      </c>
      <c r="T14" s="515">
        <v>545</v>
      </c>
      <c r="U14" s="515">
        <v>4</v>
      </c>
      <c r="V14" s="516" t="s">
        <v>653</v>
      </c>
      <c r="W14" s="514">
        <v>1706</v>
      </c>
      <c r="X14" s="514">
        <v>314</v>
      </c>
      <c r="Y14" s="514">
        <v>19</v>
      </c>
      <c r="Z14" s="517">
        <v>66</v>
      </c>
    </row>
    <row r="15" spans="1:26" s="349" customFormat="1" ht="12" customHeight="1">
      <c r="A15" s="718"/>
      <c r="B15" s="716"/>
      <c r="C15" s="393" t="s">
        <v>580</v>
      </c>
      <c r="D15" s="380">
        <v>11012</v>
      </c>
      <c r="E15" s="510">
        <v>10978</v>
      </c>
      <c r="F15" s="514">
        <v>28</v>
      </c>
      <c r="G15" s="514">
        <v>26</v>
      </c>
      <c r="H15" s="514">
        <v>528</v>
      </c>
      <c r="I15" s="514">
        <v>520</v>
      </c>
      <c r="J15" s="514">
        <v>219</v>
      </c>
      <c r="K15" s="514">
        <v>96</v>
      </c>
      <c r="L15" s="514">
        <v>298</v>
      </c>
      <c r="M15" s="514">
        <v>43</v>
      </c>
      <c r="N15" s="514">
        <v>191</v>
      </c>
      <c r="O15" s="514">
        <v>651</v>
      </c>
      <c r="P15" s="514">
        <v>536</v>
      </c>
      <c r="Q15" s="514">
        <v>1751</v>
      </c>
      <c r="R15" s="514">
        <v>1090</v>
      </c>
      <c r="S15" s="514">
        <v>2382</v>
      </c>
      <c r="T15" s="514">
        <v>507</v>
      </c>
      <c r="U15" s="514">
        <v>2</v>
      </c>
      <c r="V15" s="511" t="s">
        <v>653</v>
      </c>
      <c r="W15" s="514">
        <v>1866</v>
      </c>
      <c r="X15" s="514">
        <v>235</v>
      </c>
      <c r="Y15" s="514">
        <v>9</v>
      </c>
      <c r="Z15" s="518">
        <v>34</v>
      </c>
    </row>
    <row r="16" spans="1:26" s="347" customFormat="1" ht="12" customHeight="1">
      <c r="A16" s="717" t="s">
        <v>585</v>
      </c>
      <c r="B16" s="715" t="s">
        <v>581</v>
      </c>
      <c r="C16" s="393" t="s">
        <v>27</v>
      </c>
      <c r="D16" s="380">
        <f>E16</f>
        <v>1897</v>
      </c>
      <c r="E16" s="510">
        <f aca="true" t="shared" si="0" ref="E16:Y16">E17+E18</f>
        <v>1897</v>
      </c>
      <c r="F16" s="510">
        <f t="shared" si="0"/>
        <v>16</v>
      </c>
      <c r="G16" s="510">
        <f t="shared" si="0"/>
        <v>11</v>
      </c>
      <c r="H16" s="510">
        <f t="shared" si="0"/>
        <v>116</v>
      </c>
      <c r="I16" s="510">
        <f t="shared" si="0"/>
        <v>176</v>
      </c>
      <c r="J16" s="510">
        <f t="shared" si="0"/>
        <v>85</v>
      </c>
      <c r="K16" s="510">
        <f t="shared" si="0"/>
        <v>16</v>
      </c>
      <c r="L16" s="510">
        <f t="shared" si="0"/>
        <v>47</v>
      </c>
      <c r="M16" s="510">
        <f t="shared" si="0"/>
        <v>11</v>
      </c>
      <c r="N16" s="510">
        <f t="shared" si="0"/>
        <v>5</v>
      </c>
      <c r="O16" s="510">
        <f t="shared" si="0"/>
        <v>133</v>
      </c>
      <c r="P16" s="510">
        <f t="shared" si="0"/>
        <v>133</v>
      </c>
      <c r="Q16" s="510">
        <f t="shared" si="0"/>
        <v>409</v>
      </c>
      <c r="R16" s="510">
        <f t="shared" si="0"/>
        <v>235</v>
      </c>
      <c r="S16" s="510">
        <f t="shared" si="0"/>
        <v>290</v>
      </c>
      <c r="T16" s="510">
        <f t="shared" si="0"/>
        <v>84</v>
      </c>
      <c r="U16" s="510">
        <f>U17</f>
        <v>1</v>
      </c>
      <c r="V16" s="511" t="s">
        <v>653</v>
      </c>
      <c r="W16" s="510">
        <f t="shared" si="0"/>
        <v>101</v>
      </c>
      <c r="X16" s="510">
        <f t="shared" si="0"/>
        <v>26</v>
      </c>
      <c r="Y16" s="510">
        <f t="shared" si="0"/>
        <v>2</v>
      </c>
      <c r="Z16" s="519" t="s">
        <v>60</v>
      </c>
    </row>
    <row r="17" spans="1:26" ht="12" customHeight="1">
      <c r="A17" s="718"/>
      <c r="B17" s="716"/>
      <c r="C17" s="393" t="s">
        <v>577</v>
      </c>
      <c r="D17" s="380">
        <f>E17</f>
        <v>1380</v>
      </c>
      <c r="E17" s="510">
        <f>SUM(F17:Y17)</f>
        <v>1380</v>
      </c>
      <c r="F17" s="514">
        <v>13</v>
      </c>
      <c r="G17" s="514">
        <v>5</v>
      </c>
      <c r="H17" s="514">
        <v>88</v>
      </c>
      <c r="I17" s="514">
        <v>120</v>
      </c>
      <c r="J17" s="514">
        <v>62</v>
      </c>
      <c r="K17" s="514">
        <v>10</v>
      </c>
      <c r="L17" s="514">
        <v>38</v>
      </c>
      <c r="M17" s="514">
        <v>9</v>
      </c>
      <c r="N17" s="514">
        <v>4</v>
      </c>
      <c r="O17" s="514">
        <v>95</v>
      </c>
      <c r="P17" s="514">
        <v>90</v>
      </c>
      <c r="Q17" s="514">
        <v>281</v>
      </c>
      <c r="R17" s="514">
        <v>178</v>
      </c>
      <c r="S17" s="514">
        <v>223</v>
      </c>
      <c r="T17" s="515">
        <v>58</v>
      </c>
      <c r="U17" s="514">
        <v>1</v>
      </c>
      <c r="V17" s="516" t="s">
        <v>653</v>
      </c>
      <c r="W17" s="514">
        <v>86</v>
      </c>
      <c r="X17" s="514">
        <v>18</v>
      </c>
      <c r="Y17" s="514">
        <v>1</v>
      </c>
      <c r="Z17" s="519" t="s">
        <v>653</v>
      </c>
    </row>
    <row r="18" spans="1:26" s="349" customFormat="1" ht="12" customHeight="1">
      <c r="A18" s="718"/>
      <c r="B18" s="716"/>
      <c r="C18" s="393" t="s">
        <v>580</v>
      </c>
      <c r="D18" s="380">
        <f>E18</f>
        <v>517</v>
      </c>
      <c r="E18" s="510">
        <f>SUM(F18:Y18)</f>
        <v>517</v>
      </c>
      <c r="F18" s="514">
        <v>3</v>
      </c>
      <c r="G18" s="514">
        <v>6</v>
      </c>
      <c r="H18" s="514">
        <v>28</v>
      </c>
      <c r="I18" s="514">
        <v>56</v>
      </c>
      <c r="J18" s="514">
        <v>23</v>
      </c>
      <c r="K18" s="514">
        <v>6</v>
      </c>
      <c r="L18" s="514">
        <v>9</v>
      </c>
      <c r="M18" s="514">
        <v>2</v>
      </c>
      <c r="N18" s="514">
        <v>1</v>
      </c>
      <c r="O18" s="514">
        <v>38</v>
      </c>
      <c r="P18" s="514">
        <v>43</v>
      </c>
      <c r="Q18" s="514">
        <v>128</v>
      </c>
      <c r="R18" s="514">
        <v>57</v>
      </c>
      <c r="S18" s="514">
        <v>67</v>
      </c>
      <c r="T18" s="514">
        <v>26</v>
      </c>
      <c r="U18" s="516" t="s">
        <v>654</v>
      </c>
      <c r="V18" s="511" t="s">
        <v>653</v>
      </c>
      <c r="W18" s="514">
        <v>15</v>
      </c>
      <c r="X18" s="514">
        <v>8</v>
      </c>
      <c r="Y18" s="514">
        <v>1</v>
      </c>
      <c r="Z18" s="520" t="s">
        <v>653</v>
      </c>
    </row>
    <row r="19" spans="1:26" s="347" customFormat="1" ht="12" customHeight="1">
      <c r="A19" s="718"/>
      <c r="B19" s="715" t="s">
        <v>579</v>
      </c>
      <c r="C19" s="393" t="s">
        <v>27</v>
      </c>
      <c r="D19" s="380">
        <f aca="true" t="shared" si="1" ref="D19:D51">E19+Z19</f>
        <v>2535</v>
      </c>
      <c r="E19" s="510">
        <f aca="true" t="shared" si="2" ref="E19:Z19">E20+E21</f>
        <v>2525</v>
      </c>
      <c r="F19" s="510">
        <f t="shared" si="2"/>
        <v>9</v>
      </c>
      <c r="G19" s="510">
        <f t="shared" si="2"/>
        <v>13</v>
      </c>
      <c r="H19" s="510">
        <f t="shared" si="2"/>
        <v>152</v>
      </c>
      <c r="I19" s="510">
        <f t="shared" si="2"/>
        <v>164</v>
      </c>
      <c r="J19" s="510">
        <f t="shared" si="2"/>
        <v>69</v>
      </c>
      <c r="K19" s="510">
        <f t="shared" si="2"/>
        <v>28</v>
      </c>
      <c r="L19" s="510">
        <f t="shared" si="2"/>
        <v>91</v>
      </c>
      <c r="M19" s="510">
        <f t="shared" si="2"/>
        <v>16</v>
      </c>
      <c r="N19" s="510">
        <f t="shared" si="2"/>
        <v>34</v>
      </c>
      <c r="O19" s="510">
        <f t="shared" si="2"/>
        <v>202</v>
      </c>
      <c r="P19" s="510">
        <f t="shared" si="2"/>
        <v>139</v>
      </c>
      <c r="Q19" s="510">
        <f t="shared" si="2"/>
        <v>571</v>
      </c>
      <c r="R19" s="510">
        <f t="shared" si="2"/>
        <v>243</v>
      </c>
      <c r="S19" s="510">
        <f t="shared" si="2"/>
        <v>426</v>
      </c>
      <c r="T19" s="510">
        <f t="shared" si="2"/>
        <v>78</v>
      </c>
      <c r="U19" s="511" t="s">
        <v>653</v>
      </c>
      <c r="V19" s="511" t="s">
        <v>653</v>
      </c>
      <c r="W19" s="510">
        <f t="shared" si="2"/>
        <v>241</v>
      </c>
      <c r="X19" s="510">
        <f t="shared" si="2"/>
        <v>48</v>
      </c>
      <c r="Y19" s="510">
        <f>Y21</f>
        <v>1</v>
      </c>
      <c r="Z19" s="521">
        <f t="shared" si="2"/>
        <v>10</v>
      </c>
    </row>
    <row r="20" spans="1:26" ht="12" customHeight="1">
      <c r="A20" s="718"/>
      <c r="B20" s="716"/>
      <c r="C20" s="393" t="s">
        <v>577</v>
      </c>
      <c r="D20" s="380">
        <f t="shared" si="1"/>
        <v>1650</v>
      </c>
      <c r="E20" s="510">
        <f>SUM(F20:Y20)</f>
        <v>1642</v>
      </c>
      <c r="F20" s="514">
        <v>7</v>
      </c>
      <c r="G20" s="514">
        <v>12</v>
      </c>
      <c r="H20" s="514">
        <v>96</v>
      </c>
      <c r="I20" s="514">
        <v>109</v>
      </c>
      <c r="J20" s="514">
        <v>48</v>
      </c>
      <c r="K20" s="514">
        <v>22</v>
      </c>
      <c r="L20" s="514">
        <v>49</v>
      </c>
      <c r="M20" s="514">
        <v>10</v>
      </c>
      <c r="N20" s="514">
        <v>29</v>
      </c>
      <c r="O20" s="514">
        <v>139</v>
      </c>
      <c r="P20" s="514">
        <v>86</v>
      </c>
      <c r="Q20" s="514">
        <v>367</v>
      </c>
      <c r="R20" s="514">
        <v>151</v>
      </c>
      <c r="S20" s="514">
        <v>275</v>
      </c>
      <c r="T20" s="515">
        <v>51</v>
      </c>
      <c r="U20" s="516" t="s">
        <v>653</v>
      </c>
      <c r="V20" s="516" t="s">
        <v>653</v>
      </c>
      <c r="W20" s="514">
        <v>157</v>
      </c>
      <c r="X20" s="514">
        <v>34</v>
      </c>
      <c r="Y20" s="516" t="s">
        <v>60</v>
      </c>
      <c r="Z20" s="521">
        <v>8</v>
      </c>
    </row>
    <row r="21" spans="1:26" s="349" customFormat="1" ht="12" customHeight="1">
      <c r="A21" s="718"/>
      <c r="B21" s="716"/>
      <c r="C21" s="393" t="s">
        <v>580</v>
      </c>
      <c r="D21" s="380">
        <f t="shared" si="1"/>
        <v>885</v>
      </c>
      <c r="E21" s="510">
        <f>SUM(F21:Y21)</f>
        <v>883</v>
      </c>
      <c r="F21" s="514">
        <v>2</v>
      </c>
      <c r="G21" s="514">
        <v>1</v>
      </c>
      <c r="H21" s="514">
        <v>56</v>
      </c>
      <c r="I21" s="514">
        <v>55</v>
      </c>
      <c r="J21" s="514">
        <v>21</v>
      </c>
      <c r="K21" s="514">
        <v>6</v>
      </c>
      <c r="L21" s="514">
        <v>42</v>
      </c>
      <c r="M21" s="514">
        <v>6</v>
      </c>
      <c r="N21" s="514">
        <v>5</v>
      </c>
      <c r="O21" s="514">
        <v>63</v>
      </c>
      <c r="P21" s="514">
        <v>53</v>
      </c>
      <c r="Q21" s="514">
        <v>204</v>
      </c>
      <c r="R21" s="514">
        <v>92</v>
      </c>
      <c r="S21" s="514">
        <v>151</v>
      </c>
      <c r="T21" s="514">
        <v>27</v>
      </c>
      <c r="U21" s="516" t="s">
        <v>653</v>
      </c>
      <c r="V21" s="511" t="s">
        <v>653</v>
      </c>
      <c r="W21" s="514">
        <v>84</v>
      </c>
      <c r="X21" s="514">
        <v>14</v>
      </c>
      <c r="Y21" s="514">
        <v>1</v>
      </c>
      <c r="Z21" s="518">
        <v>2</v>
      </c>
    </row>
    <row r="22" spans="1:26" s="345" customFormat="1" ht="12" customHeight="1">
      <c r="A22" s="717" t="s">
        <v>586</v>
      </c>
      <c r="B22" s="715" t="s">
        <v>581</v>
      </c>
      <c r="C22" s="393" t="s">
        <v>27</v>
      </c>
      <c r="D22" s="380">
        <f t="shared" si="1"/>
        <v>2224</v>
      </c>
      <c r="E22" s="510">
        <f aca="true" t="shared" si="3" ref="E22:Z22">E23+E24</f>
        <v>2222</v>
      </c>
      <c r="F22" s="510">
        <f t="shared" si="3"/>
        <v>5</v>
      </c>
      <c r="G22" s="510">
        <f t="shared" si="3"/>
        <v>10</v>
      </c>
      <c r="H22" s="510">
        <f t="shared" si="3"/>
        <v>125</v>
      </c>
      <c r="I22" s="510">
        <f t="shared" si="3"/>
        <v>192</v>
      </c>
      <c r="J22" s="510">
        <f t="shared" si="3"/>
        <v>65</v>
      </c>
      <c r="K22" s="510">
        <f t="shared" si="3"/>
        <v>36</v>
      </c>
      <c r="L22" s="510">
        <f t="shared" si="3"/>
        <v>48</v>
      </c>
      <c r="M22" s="510">
        <f>M23</f>
        <v>6</v>
      </c>
      <c r="N22" s="510">
        <f t="shared" si="3"/>
        <v>5</v>
      </c>
      <c r="O22" s="510">
        <f t="shared" si="3"/>
        <v>163</v>
      </c>
      <c r="P22" s="510">
        <f t="shared" si="3"/>
        <v>190</v>
      </c>
      <c r="Q22" s="510">
        <f t="shared" si="3"/>
        <v>446</v>
      </c>
      <c r="R22" s="510">
        <f t="shared" si="3"/>
        <v>272</v>
      </c>
      <c r="S22" s="510">
        <f t="shared" si="3"/>
        <v>378</v>
      </c>
      <c r="T22" s="510">
        <f t="shared" si="3"/>
        <v>121</v>
      </c>
      <c r="U22" s="511" t="s">
        <v>653</v>
      </c>
      <c r="V22" s="511" t="s">
        <v>653</v>
      </c>
      <c r="W22" s="510">
        <f t="shared" si="3"/>
        <v>125</v>
      </c>
      <c r="X22" s="510">
        <f t="shared" si="3"/>
        <v>34</v>
      </c>
      <c r="Y22" s="510">
        <f>Y23</f>
        <v>1</v>
      </c>
      <c r="Z22" s="521">
        <f t="shared" si="3"/>
        <v>2</v>
      </c>
    </row>
    <row r="23" spans="1:26" s="345" customFormat="1" ht="12" customHeight="1">
      <c r="A23" s="718"/>
      <c r="B23" s="716"/>
      <c r="C23" s="393" t="s">
        <v>577</v>
      </c>
      <c r="D23" s="380">
        <f t="shared" si="1"/>
        <v>1429</v>
      </c>
      <c r="E23" s="510">
        <f>SUM(F23:Y23)</f>
        <v>1428</v>
      </c>
      <c r="F23" s="510">
        <v>2</v>
      </c>
      <c r="G23" s="510">
        <v>7</v>
      </c>
      <c r="H23" s="510">
        <v>76</v>
      </c>
      <c r="I23" s="510">
        <v>127</v>
      </c>
      <c r="J23" s="510">
        <v>37</v>
      </c>
      <c r="K23" s="510">
        <v>26</v>
      </c>
      <c r="L23" s="510">
        <v>27</v>
      </c>
      <c r="M23" s="510">
        <v>6</v>
      </c>
      <c r="N23" s="510">
        <v>3</v>
      </c>
      <c r="O23" s="510">
        <v>90</v>
      </c>
      <c r="P23" s="510">
        <v>109</v>
      </c>
      <c r="Q23" s="510">
        <v>270</v>
      </c>
      <c r="R23" s="510">
        <v>169</v>
      </c>
      <c r="S23" s="510">
        <v>265</v>
      </c>
      <c r="T23" s="510">
        <v>81</v>
      </c>
      <c r="U23" s="511" t="s">
        <v>653</v>
      </c>
      <c r="V23" s="511" t="s">
        <v>653</v>
      </c>
      <c r="W23" s="510">
        <v>107</v>
      </c>
      <c r="X23" s="510">
        <v>25</v>
      </c>
      <c r="Y23" s="510">
        <v>1</v>
      </c>
      <c r="Z23" s="521">
        <v>1</v>
      </c>
    </row>
    <row r="24" spans="1:26" s="346" customFormat="1" ht="12" customHeight="1">
      <c r="A24" s="718"/>
      <c r="B24" s="716"/>
      <c r="C24" s="393" t="s">
        <v>580</v>
      </c>
      <c r="D24" s="380">
        <f t="shared" si="1"/>
        <v>795</v>
      </c>
      <c r="E24" s="510">
        <f>SUM(F24:Y24)</f>
        <v>794</v>
      </c>
      <c r="F24" s="510">
        <v>3</v>
      </c>
      <c r="G24" s="510">
        <v>3</v>
      </c>
      <c r="H24" s="510">
        <v>49</v>
      </c>
      <c r="I24" s="510">
        <v>65</v>
      </c>
      <c r="J24" s="510">
        <v>28</v>
      </c>
      <c r="K24" s="510">
        <v>10</v>
      </c>
      <c r="L24" s="510">
        <v>21</v>
      </c>
      <c r="M24" s="511" t="s">
        <v>60</v>
      </c>
      <c r="N24" s="510">
        <v>2</v>
      </c>
      <c r="O24" s="510">
        <v>73</v>
      </c>
      <c r="P24" s="510">
        <v>81</v>
      </c>
      <c r="Q24" s="510">
        <v>176</v>
      </c>
      <c r="R24" s="510">
        <v>103</v>
      </c>
      <c r="S24" s="510">
        <v>113</v>
      </c>
      <c r="T24" s="510">
        <v>40</v>
      </c>
      <c r="U24" s="511" t="s">
        <v>653</v>
      </c>
      <c r="V24" s="511" t="s">
        <v>653</v>
      </c>
      <c r="W24" s="510">
        <v>18</v>
      </c>
      <c r="X24" s="510">
        <v>9</v>
      </c>
      <c r="Y24" s="511" t="s">
        <v>651</v>
      </c>
      <c r="Z24" s="522">
        <v>1</v>
      </c>
    </row>
    <row r="25" spans="1:26" s="347" customFormat="1" ht="12" customHeight="1">
      <c r="A25" s="718"/>
      <c r="B25" s="715" t="s">
        <v>579</v>
      </c>
      <c r="C25" s="393" t="s">
        <v>27</v>
      </c>
      <c r="D25" s="380">
        <f t="shared" si="1"/>
        <v>3053</v>
      </c>
      <c r="E25" s="510">
        <f aca="true" t="shared" si="4" ref="E25:Z25">E26+E27</f>
        <v>3045</v>
      </c>
      <c r="F25" s="510">
        <f t="shared" si="4"/>
        <v>9</v>
      </c>
      <c r="G25" s="510">
        <f t="shared" si="4"/>
        <v>12</v>
      </c>
      <c r="H25" s="510">
        <f t="shared" si="4"/>
        <v>195</v>
      </c>
      <c r="I25" s="510">
        <f t="shared" si="4"/>
        <v>201</v>
      </c>
      <c r="J25" s="510">
        <f t="shared" si="4"/>
        <v>88</v>
      </c>
      <c r="K25" s="510">
        <f t="shared" si="4"/>
        <v>31</v>
      </c>
      <c r="L25" s="510">
        <f t="shared" si="4"/>
        <v>62</v>
      </c>
      <c r="M25" s="510">
        <f t="shared" si="4"/>
        <v>8</v>
      </c>
      <c r="N25" s="510">
        <f t="shared" si="4"/>
        <v>42</v>
      </c>
      <c r="O25" s="510">
        <f t="shared" si="4"/>
        <v>229</v>
      </c>
      <c r="P25" s="510">
        <f t="shared" si="4"/>
        <v>177</v>
      </c>
      <c r="Q25" s="510">
        <f t="shared" si="4"/>
        <v>575</v>
      </c>
      <c r="R25" s="510">
        <f t="shared" si="4"/>
        <v>279</v>
      </c>
      <c r="S25" s="510">
        <f t="shared" si="4"/>
        <v>559</v>
      </c>
      <c r="T25" s="510">
        <f t="shared" si="4"/>
        <v>106</v>
      </c>
      <c r="U25" s="510">
        <f>U26</f>
        <v>1</v>
      </c>
      <c r="V25" s="511" t="s">
        <v>653</v>
      </c>
      <c r="W25" s="510">
        <f t="shared" si="4"/>
        <v>425</v>
      </c>
      <c r="X25" s="510">
        <f t="shared" si="4"/>
        <v>46</v>
      </c>
      <c r="Y25" s="511" t="s">
        <v>653</v>
      </c>
      <c r="Z25" s="521">
        <f t="shared" si="4"/>
        <v>8</v>
      </c>
    </row>
    <row r="26" spans="1:26" ht="12" customHeight="1">
      <c r="A26" s="718"/>
      <c r="B26" s="716"/>
      <c r="C26" s="393" t="s">
        <v>577</v>
      </c>
      <c r="D26" s="380">
        <f t="shared" si="1"/>
        <v>1730</v>
      </c>
      <c r="E26" s="510">
        <f>SUM(F26:Y26)</f>
        <v>1723</v>
      </c>
      <c r="F26" s="514">
        <v>4</v>
      </c>
      <c r="G26" s="514">
        <v>7</v>
      </c>
      <c r="H26" s="514">
        <v>109</v>
      </c>
      <c r="I26" s="514">
        <v>119</v>
      </c>
      <c r="J26" s="514">
        <v>48</v>
      </c>
      <c r="K26" s="514">
        <v>24</v>
      </c>
      <c r="L26" s="514">
        <v>31</v>
      </c>
      <c r="M26" s="514">
        <v>4</v>
      </c>
      <c r="N26" s="514">
        <v>23</v>
      </c>
      <c r="O26" s="514">
        <v>145</v>
      </c>
      <c r="P26" s="514">
        <v>99</v>
      </c>
      <c r="Q26" s="514">
        <v>337</v>
      </c>
      <c r="R26" s="514">
        <v>151</v>
      </c>
      <c r="S26" s="514">
        <v>323</v>
      </c>
      <c r="T26" s="515">
        <v>64</v>
      </c>
      <c r="U26" s="514">
        <v>1</v>
      </c>
      <c r="V26" s="516" t="s">
        <v>653</v>
      </c>
      <c r="W26" s="514">
        <v>207</v>
      </c>
      <c r="X26" s="514">
        <v>27</v>
      </c>
      <c r="Y26" s="516" t="s">
        <v>653</v>
      </c>
      <c r="Z26" s="521">
        <v>7</v>
      </c>
    </row>
    <row r="27" spans="1:26" s="349" customFormat="1" ht="12" customHeight="1">
      <c r="A27" s="718"/>
      <c r="B27" s="716"/>
      <c r="C27" s="393" t="s">
        <v>580</v>
      </c>
      <c r="D27" s="380">
        <f t="shared" si="1"/>
        <v>1323</v>
      </c>
      <c r="E27" s="510">
        <f>SUM(F27:Y27)</f>
        <v>1322</v>
      </c>
      <c r="F27" s="514">
        <v>5</v>
      </c>
      <c r="G27" s="514">
        <v>5</v>
      </c>
      <c r="H27" s="514">
        <v>86</v>
      </c>
      <c r="I27" s="514">
        <v>82</v>
      </c>
      <c r="J27" s="514">
        <v>40</v>
      </c>
      <c r="K27" s="514">
        <v>7</v>
      </c>
      <c r="L27" s="514">
        <v>31</v>
      </c>
      <c r="M27" s="514">
        <v>4</v>
      </c>
      <c r="N27" s="514">
        <v>19</v>
      </c>
      <c r="O27" s="514">
        <v>84</v>
      </c>
      <c r="P27" s="514">
        <v>78</v>
      </c>
      <c r="Q27" s="514">
        <v>238</v>
      </c>
      <c r="R27" s="514">
        <v>128</v>
      </c>
      <c r="S27" s="514">
        <v>236</v>
      </c>
      <c r="T27" s="514">
        <v>42</v>
      </c>
      <c r="U27" s="516" t="s">
        <v>654</v>
      </c>
      <c r="V27" s="511" t="s">
        <v>653</v>
      </c>
      <c r="W27" s="514">
        <v>218</v>
      </c>
      <c r="X27" s="514">
        <v>19</v>
      </c>
      <c r="Y27" s="516" t="s">
        <v>653</v>
      </c>
      <c r="Z27" s="518">
        <v>1</v>
      </c>
    </row>
    <row r="28" spans="1:26" s="347" customFormat="1" ht="12" customHeight="1">
      <c r="A28" s="717" t="s">
        <v>587</v>
      </c>
      <c r="B28" s="715" t="s">
        <v>581</v>
      </c>
      <c r="C28" s="393" t="s">
        <v>27</v>
      </c>
      <c r="D28" s="380">
        <f t="shared" si="1"/>
        <v>1812</v>
      </c>
      <c r="E28" s="510">
        <f>SUM(F28:Y28)</f>
        <v>1811</v>
      </c>
      <c r="F28" s="510">
        <f aca="true" t="shared" si="5" ref="F28:X28">F29+F30</f>
        <v>7</v>
      </c>
      <c r="G28" s="510">
        <f t="shared" si="5"/>
        <v>7</v>
      </c>
      <c r="H28" s="510">
        <f t="shared" si="5"/>
        <v>101</v>
      </c>
      <c r="I28" s="510">
        <f t="shared" si="5"/>
        <v>145</v>
      </c>
      <c r="J28" s="510">
        <f t="shared" si="5"/>
        <v>50</v>
      </c>
      <c r="K28" s="510">
        <f t="shared" si="5"/>
        <v>32</v>
      </c>
      <c r="L28" s="510">
        <f t="shared" si="5"/>
        <v>23</v>
      </c>
      <c r="M28" s="510">
        <f t="shared" si="5"/>
        <v>7</v>
      </c>
      <c r="N28" s="510">
        <f t="shared" si="5"/>
        <v>3</v>
      </c>
      <c r="O28" s="510">
        <f t="shared" si="5"/>
        <v>142</v>
      </c>
      <c r="P28" s="510">
        <f t="shared" si="5"/>
        <v>106</v>
      </c>
      <c r="Q28" s="510">
        <f t="shared" si="5"/>
        <v>329</v>
      </c>
      <c r="R28" s="510">
        <f t="shared" si="5"/>
        <v>253</v>
      </c>
      <c r="S28" s="510">
        <f t="shared" si="5"/>
        <v>357</v>
      </c>
      <c r="T28" s="510">
        <f t="shared" si="5"/>
        <v>86</v>
      </c>
      <c r="U28" s="510">
        <f>U29</f>
        <v>1</v>
      </c>
      <c r="V28" s="511" t="s">
        <v>653</v>
      </c>
      <c r="W28" s="510">
        <f t="shared" si="5"/>
        <v>139</v>
      </c>
      <c r="X28" s="510">
        <f t="shared" si="5"/>
        <v>21</v>
      </c>
      <c r="Y28" s="510">
        <f>Y30</f>
        <v>2</v>
      </c>
      <c r="Z28" s="521">
        <f>Z29</f>
        <v>1</v>
      </c>
    </row>
    <row r="29" spans="1:26" ht="12" customHeight="1">
      <c r="A29" s="718"/>
      <c r="B29" s="716"/>
      <c r="C29" s="393" t="s">
        <v>577</v>
      </c>
      <c r="D29" s="380">
        <f t="shared" si="1"/>
        <v>1143</v>
      </c>
      <c r="E29" s="510">
        <f>SUM(F29:Y29)</f>
        <v>1142</v>
      </c>
      <c r="F29" s="510">
        <v>3</v>
      </c>
      <c r="G29" s="510">
        <v>5</v>
      </c>
      <c r="H29" s="510">
        <v>51</v>
      </c>
      <c r="I29" s="510">
        <v>83</v>
      </c>
      <c r="J29" s="510">
        <v>24</v>
      </c>
      <c r="K29" s="510">
        <v>19</v>
      </c>
      <c r="L29" s="510">
        <v>8</v>
      </c>
      <c r="M29" s="510">
        <v>5</v>
      </c>
      <c r="N29" s="510">
        <v>1</v>
      </c>
      <c r="O29" s="510">
        <v>91</v>
      </c>
      <c r="P29" s="510">
        <v>64</v>
      </c>
      <c r="Q29" s="510">
        <v>212</v>
      </c>
      <c r="R29" s="510">
        <v>152</v>
      </c>
      <c r="S29" s="510">
        <v>255</v>
      </c>
      <c r="T29" s="510">
        <v>44</v>
      </c>
      <c r="U29" s="510">
        <v>1</v>
      </c>
      <c r="V29" s="511" t="s">
        <v>653</v>
      </c>
      <c r="W29" s="510">
        <v>108</v>
      </c>
      <c r="X29" s="510">
        <v>16</v>
      </c>
      <c r="Y29" s="511" t="s">
        <v>654</v>
      </c>
      <c r="Z29" s="521">
        <v>1</v>
      </c>
    </row>
    <row r="30" spans="1:26" s="349" customFormat="1" ht="12" customHeight="1">
      <c r="A30" s="718"/>
      <c r="B30" s="716"/>
      <c r="C30" s="393" t="s">
        <v>580</v>
      </c>
      <c r="D30" s="380">
        <f>E30</f>
        <v>669</v>
      </c>
      <c r="E30" s="510">
        <f>SUM(F30:Y30)</f>
        <v>669</v>
      </c>
      <c r="F30" s="510">
        <v>4</v>
      </c>
      <c r="G30" s="510">
        <v>2</v>
      </c>
      <c r="H30" s="510">
        <v>50</v>
      </c>
      <c r="I30" s="510">
        <v>62</v>
      </c>
      <c r="J30" s="510">
        <v>26</v>
      </c>
      <c r="K30" s="510">
        <v>13</v>
      </c>
      <c r="L30" s="510">
        <v>15</v>
      </c>
      <c r="M30" s="510">
        <v>2</v>
      </c>
      <c r="N30" s="510">
        <v>2</v>
      </c>
      <c r="O30" s="510">
        <v>51</v>
      </c>
      <c r="P30" s="510">
        <v>42</v>
      </c>
      <c r="Q30" s="510">
        <v>117</v>
      </c>
      <c r="R30" s="510">
        <v>101</v>
      </c>
      <c r="S30" s="510">
        <v>102</v>
      </c>
      <c r="T30" s="510">
        <v>42</v>
      </c>
      <c r="U30" s="511" t="s">
        <v>654</v>
      </c>
      <c r="V30" s="511" t="s">
        <v>653</v>
      </c>
      <c r="W30" s="510">
        <v>31</v>
      </c>
      <c r="X30" s="510">
        <v>5</v>
      </c>
      <c r="Y30" s="510">
        <v>2</v>
      </c>
      <c r="Z30" s="520" t="s">
        <v>60</v>
      </c>
    </row>
    <row r="31" spans="1:26" s="347" customFormat="1" ht="12" customHeight="1">
      <c r="A31" s="718"/>
      <c r="B31" s="715" t="s">
        <v>579</v>
      </c>
      <c r="C31" s="393" t="s">
        <v>27</v>
      </c>
      <c r="D31" s="380">
        <f t="shared" si="1"/>
        <v>2281</v>
      </c>
      <c r="E31" s="510">
        <f aca="true" t="shared" si="6" ref="E31:Z31">E32+E33</f>
        <v>2271</v>
      </c>
      <c r="F31" s="510">
        <f>F32</f>
        <v>2</v>
      </c>
      <c r="G31" s="510">
        <f t="shared" si="6"/>
        <v>5</v>
      </c>
      <c r="H31" s="510">
        <f t="shared" si="6"/>
        <v>126</v>
      </c>
      <c r="I31" s="510">
        <f t="shared" si="6"/>
        <v>149</v>
      </c>
      <c r="J31" s="510">
        <f t="shared" si="6"/>
        <v>66</v>
      </c>
      <c r="K31" s="510">
        <f t="shared" si="6"/>
        <v>20</v>
      </c>
      <c r="L31" s="510">
        <f t="shared" si="6"/>
        <v>47</v>
      </c>
      <c r="M31" s="510">
        <f t="shared" si="6"/>
        <v>9</v>
      </c>
      <c r="N31" s="510">
        <f t="shared" si="6"/>
        <v>39</v>
      </c>
      <c r="O31" s="510">
        <f t="shared" si="6"/>
        <v>148</v>
      </c>
      <c r="P31" s="510">
        <f t="shared" si="6"/>
        <v>110</v>
      </c>
      <c r="Q31" s="510">
        <f t="shared" si="6"/>
        <v>395</v>
      </c>
      <c r="R31" s="510">
        <f t="shared" si="6"/>
        <v>204</v>
      </c>
      <c r="S31" s="510">
        <f t="shared" si="6"/>
        <v>444</v>
      </c>
      <c r="T31" s="510">
        <f t="shared" si="6"/>
        <v>98</v>
      </c>
      <c r="U31" s="511" t="s">
        <v>653</v>
      </c>
      <c r="V31" s="511" t="s">
        <v>653</v>
      </c>
      <c r="W31" s="510">
        <f t="shared" si="6"/>
        <v>366</v>
      </c>
      <c r="X31" s="510">
        <f t="shared" si="6"/>
        <v>41</v>
      </c>
      <c r="Y31" s="510">
        <f t="shared" si="6"/>
        <v>2</v>
      </c>
      <c r="Z31" s="521">
        <f t="shared" si="6"/>
        <v>10</v>
      </c>
    </row>
    <row r="32" spans="1:26" ht="12" customHeight="1">
      <c r="A32" s="718"/>
      <c r="B32" s="716"/>
      <c r="C32" s="393" t="s">
        <v>577</v>
      </c>
      <c r="D32" s="380">
        <f t="shared" si="1"/>
        <v>1250</v>
      </c>
      <c r="E32" s="510">
        <f>SUM(F32:Y32)</f>
        <v>1242</v>
      </c>
      <c r="F32" s="510">
        <v>2</v>
      </c>
      <c r="G32" s="510">
        <v>3</v>
      </c>
      <c r="H32" s="510">
        <v>59</v>
      </c>
      <c r="I32" s="510">
        <v>84</v>
      </c>
      <c r="J32" s="510">
        <v>32</v>
      </c>
      <c r="K32" s="510">
        <v>6</v>
      </c>
      <c r="L32" s="510">
        <v>27</v>
      </c>
      <c r="M32" s="510">
        <v>1</v>
      </c>
      <c r="N32" s="510">
        <v>14</v>
      </c>
      <c r="O32" s="510">
        <v>81</v>
      </c>
      <c r="P32" s="510">
        <v>58</v>
      </c>
      <c r="Q32" s="510">
        <v>226</v>
      </c>
      <c r="R32" s="510">
        <v>120</v>
      </c>
      <c r="S32" s="510">
        <v>257</v>
      </c>
      <c r="T32" s="510">
        <v>54</v>
      </c>
      <c r="U32" s="511" t="s">
        <v>653</v>
      </c>
      <c r="V32" s="511" t="s">
        <v>653</v>
      </c>
      <c r="W32" s="510">
        <v>190</v>
      </c>
      <c r="X32" s="510">
        <v>27</v>
      </c>
      <c r="Y32" s="510">
        <v>1</v>
      </c>
      <c r="Z32" s="518">
        <v>8</v>
      </c>
    </row>
    <row r="33" spans="1:26" s="349" customFormat="1" ht="12" customHeight="1">
      <c r="A33" s="718"/>
      <c r="B33" s="716"/>
      <c r="C33" s="393" t="s">
        <v>580</v>
      </c>
      <c r="D33" s="380">
        <f t="shared" si="1"/>
        <v>1031</v>
      </c>
      <c r="E33" s="510">
        <f>SUM(F33:Y33)</f>
        <v>1029</v>
      </c>
      <c r="F33" s="516" t="s">
        <v>654</v>
      </c>
      <c r="G33" s="514">
        <v>2</v>
      </c>
      <c r="H33" s="514">
        <v>67</v>
      </c>
      <c r="I33" s="514">
        <v>65</v>
      </c>
      <c r="J33" s="514">
        <v>34</v>
      </c>
      <c r="K33" s="514">
        <v>14</v>
      </c>
      <c r="L33" s="514">
        <v>20</v>
      </c>
      <c r="M33" s="514">
        <v>8</v>
      </c>
      <c r="N33" s="514">
        <v>25</v>
      </c>
      <c r="O33" s="514">
        <v>67</v>
      </c>
      <c r="P33" s="514">
        <v>52</v>
      </c>
      <c r="Q33" s="514">
        <v>169</v>
      </c>
      <c r="R33" s="514">
        <v>84</v>
      </c>
      <c r="S33" s="514">
        <v>187</v>
      </c>
      <c r="T33" s="514">
        <v>44</v>
      </c>
      <c r="U33" s="516" t="s">
        <v>653</v>
      </c>
      <c r="V33" s="511" t="s">
        <v>653</v>
      </c>
      <c r="W33" s="514">
        <v>176</v>
      </c>
      <c r="X33" s="514">
        <v>14</v>
      </c>
      <c r="Y33" s="514">
        <v>1</v>
      </c>
      <c r="Z33" s="518">
        <v>2</v>
      </c>
    </row>
    <row r="34" spans="1:26" s="347" customFormat="1" ht="12" customHeight="1">
      <c r="A34" s="717" t="s">
        <v>588</v>
      </c>
      <c r="B34" s="715" t="s">
        <v>581</v>
      </c>
      <c r="C34" s="393" t="s">
        <v>27</v>
      </c>
      <c r="D34" s="380">
        <f t="shared" si="1"/>
        <v>2156</v>
      </c>
      <c r="E34" s="510">
        <f>SUM(F34:Y34)</f>
        <v>2155</v>
      </c>
      <c r="F34" s="510">
        <f aca="true" t="shared" si="7" ref="F34:X34">F35+F36</f>
        <v>6</v>
      </c>
      <c r="G34" s="510">
        <f t="shared" si="7"/>
        <v>8</v>
      </c>
      <c r="H34" s="510">
        <f t="shared" si="7"/>
        <v>116</v>
      </c>
      <c r="I34" s="510">
        <f t="shared" si="7"/>
        <v>195</v>
      </c>
      <c r="J34" s="510">
        <f t="shared" si="7"/>
        <v>37</v>
      </c>
      <c r="K34" s="510">
        <f t="shared" si="7"/>
        <v>26</v>
      </c>
      <c r="L34" s="510">
        <f t="shared" si="7"/>
        <v>40</v>
      </c>
      <c r="M34" s="510">
        <f t="shared" si="7"/>
        <v>6</v>
      </c>
      <c r="N34" s="510">
        <f t="shared" si="7"/>
        <v>4</v>
      </c>
      <c r="O34" s="510">
        <f t="shared" si="7"/>
        <v>140</v>
      </c>
      <c r="P34" s="510">
        <f t="shared" si="7"/>
        <v>115</v>
      </c>
      <c r="Q34" s="510">
        <f t="shared" si="7"/>
        <v>425</v>
      </c>
      <c r="R34" s="510">
        <f t="shared" si="7"/>
        <v>314</v>
      </c>
      <c r="S34" s="510">
        <f t="shared" si="7"/>
        <v>414</v>
      </c>
      <c r="T34" s="510">
        <f t="shared" si="7"/>
        <v>116</v>
      </c>
      <c r="U34" s="511" t="s">
        <v>653</v>
      </c>
      <c r="V34" s="511" t="s">
        <v>653</v>
      </c>
      <c r="W34" s="510">
        <f t="shared" si="7"/>
        <v>161</v>
      </c>
      <c r="X34" s="510">
        <f t="shared" si="7"/>
        <v>32</v>
      </c>
      <c r="Y34" s="511" t="s">
        <v>657</v>
      </c>
      <c r="Z34" s="521">
        <f>Z35</f>
        <v>1</v>
      </c>
    </row>
    <row r="35" spans="1:26" ht="12" customHeight="1">
      <c r="A35" s="718"/>
      <c r="B35" s="716"/>
      <c r="C35" s="393" t="s">
        <v>577</v>
      </c>
      <c r="D35" s="380">
        <f t="shared" si="1"/>
        <v>1571</v>
      </c>
      <c r="E35" s="510">
        <f>SUM(F35:Y35)</f>
        <v>1570</v>
      </c>
      <c r="F35" s="510">
        <v>1</v>
      </c>
      <c r="G35" s="510">
        <v>5</v>
      </c>
      <c r="H35" s="510">
        <v>72</v>
      </c>
      <c r="I35" s="510">
        <v>130</v>
      </c>
      <c r="J35" s="510">
        <v>25</v>
      </c>
      <c r="K35" s="510">
        <v>9</v>
      </c>
      <c r="L35" s="510">
        <v>29</v>
      </c>
      <c r="M35" s="510">
        <v>3</v>
      </c>
      <c r="N35" s="510">
        <v>2</v>
      </c>
      <c r="O35" s="510">
        <v>94</v>
      </c>
      <c r="P35" s="510">
        <v>90</v>
      </c>
      <c r="Q35" s="510">
        <v>322</v>
      </c>
      <c r="R35" s="510">
        <v>224</v>
      </c>
      <c r="S35" s="510">
        <v>315</v>
      </c>
      <c r="T35" s="510">
        <v>84</v>
      </c>
      <c r="U35" s="511" t="s">
        <v>653</v>
      </c>
      <c r="V35" s="511" t="s">
        <v>653</v>
      </c>
      <c r="W35" s="510">
        <v>139</v>
      </c>
      <c r="X35" s="510">
        <v>26</v>
      </c>
      <c r="Y35" s="511" t="s">
        <v>653</v>
      </c>
      <c r="Z35" s="521">
        <v>1</v>
      </c>
    </row>
    <row r="36" spans="1:26" s="349" customFormat="1" ht="12" customHeight="1">
      <c r="A36" s="718"/>
      <c r="B36" s="716"/>
      <c r="C36" s="393" t="s">
        <v>580</v>
      </c>
      <c r="D36" s="380">
        <f>E36</f>
        <v>585</v>
      </c>
      <c r="E36" s="510">
        <f>SUM(F36:Y36)</f>
        <v>585</v>
      </c>
      <c r="F36" s="510">
        <v>5</v>
      </c>
      <c r="G36" s="510">
        <v>3</v>
      </c>
      <c r="H36" s="510">
        <v>44</v>
      </c>
      <c r="I36" s="510">
        <v>65</v>
      </c>
      <c r="J36" s="510">
        <v>12</v>
      </c>
      <c r="K36" s="510">
        <v>17</v>
      </c>
      <c r="L36" s="510">
        <v>11</v>
      </c>
      <c r="M36" s="510">
        <v>3</v>
      </c>
      <c r="N36" s="510">
        <v>2</v>
      </c>
      <c r="O36" s="510">
        <v>46</v>
      </c>
      <c r="P36" s="510">
        <v>25</v>
      </c>
      <c r="Q36" s="510">
        <v>103</v>
      </c>
      <c r="R36" s="510">
        <v>90</v>
      </c>
      <c r="S36" s="510">
        <v>99</v>
      </c>
      <c r="T36" s="510">
        <v>32</v>
      </c>
      <c r="U36" s="511" t="s">
        <v>653</v>
      </c>
      <c r="V36" s="511" t="s">
        <v>653</v>
      </c>
      <c r="W36" s="510">
        <v>22</v>
      </c>
      <c r="X36" s="510">
        <v>6</v>
      </c>
      <c r="Y36" s="511" t="s">
        <v>653</v>
      </c>
      <c r="Z36" s="520" t="s">
        <v>60</v>
      </c>
    </row>
    <row r="37" spans="1:26" s="347" customFormat="1" ht="12" customHeight="1">
      <c r="A37" s="718"/>
      <c r="B37" s="715" t="s">
        <v>579</v>
      </c>
      <c r="C37" s="393" t="s">
        <v>27</v>
      </c>
      <c r="D37" s="380">
        <f t="shared" si="1"/>
        <v>2524</v>
      </c>
      <c r="E37" s="510">
        <f aca="true" t="shared" si="8" ref="E37:Z37">E38+E39</f>
        <v>2513</v>
      </c>
      <c r="F37" s="510">
        <f>F39</f>
        <v>2</v>
      </c>
      <c r="G37" s="510">
        <f t="shared" si="8"/>
        <v>3</v>
      </c>
      <c r="H37" s="510">
        <f t="shared" si="8"/>
        <v>145</v>
      </c>
      <c r="I37" s="510">
        <f t="shared" si="8"/>
        <v>154</v>
      </c>
      <c r="J37" s="510">
        <f t="shared" si="8"/>
        <v>45</v>
      </c>
      <c r="K37" s="510">
        <f t="shared" si="8"/>
        <v>23</v>
      </c>
      <c r="L37" s="510">
        <f t="shared" si="8"/>
        <v>60</v>
      </c>
      <c r="M37" s="510">
        <f t="shared" si="8"/>
        <v>6</v>
      </c>
      <c r="N37" s="510">
        <f t="shared" si="8"/>
        <v>49</v>
      </c>
      <c r="O37" s="510">
        <f t="shared" si="8"/>
        <v>150</v>
      </c>
      <c r="P37" s="510">
        <f t="shared" si="8"/>
        <v>137</v>
      </c>
      <c r="Q37" s="510">
        <f t="shared" si="8"/>
        <v>450</v>
      </c>
      <c r="R37" s="510">
        <f t="shared" si="8"/>
        <v>260</v>
      </c>
      <c r="S37" s="510">
        <f t="shared" si="8"/>
        <v>469</v>
      </c>
      <c r="T37" s="510">
        <f t="shared" si="8"/>
        <v>122</v>
      </c>
      <c r="U37" s="510">
        <f>U38</f>
        <v>1</v>
      </c>
      <c r="V37" s="511" t="s">
        <v>653</v>
      </c>
      <c r="W37" s="510">
        <f t="shared" si="8"/>
        <v>379</v>
      </c>
      <c r="X37" s="510">
        <f t="shared" si="8"/>
        <v>50</v>
      </c>
      <c r="Y37" s="510">
        <f t="shared" si="8"/>
        <v>8</v>
      </c>
      <c r="Z37" s="521">
        <f t="shared" si="8"/>
        <v>11</v>
      </c>
    </row>
    <row r="38" spans="1:26" ht="12" customHeight="1">
      <c r="A38" s="718"/>
      <c r="B38" s="716"/>
      <c r="C38" s="393" t="s">
        <v>577</v>
      </c>
      <c r="D38" s="380">
        <f t="shared" si="1"/>
        <v>1594</v>
      </c>
      <c r="E38" s="510">
        <f>SUM(F38:Y38)</f>
        <v>1587</v>
      </c>
      <c r="F38" s="516" t="s">
        <v>60</v>
      </c>
      <c r="G38" s="514">
        <v>1</v>
      </c>
      <c r="H38" s="514">
        <v>85</v>
      </c>
      <c r="I38" s="514">
        <v>99</v>
      </c>
      <c r="J38" s="514">
        <v>25</v>
      </c>
      <c r="K38" s="514">
        <v>17</v>
      </c>
      <c r="L38" s="514">
        <v>34</v>
      </c>
      <c r="M38" s="514">
        <v>2</v>
      </c>
      <c r="N38" s="514">
        <v>28</v>
      </c>
      <c r="O38" s="514">
        <v>98</v>
      </c>
      <c r="P38" s="514">
        <v>90</v>
      </c>
      <c r="Q38" s="514">
        <v>296</v>
      </c>
      <c r="R38" s="514">
        <v>174</v>
      </c>
      <c r="S38" s="514">
        <v>307</v>
      </c>
      <c r="T38" s="515">
        <v>78</v>
      </c>
      <c r="U38" s="514">
        <v>1</v>
      </c>
      <c r="V38" s="516" t="s">
        <v>653</v>
      </c>
      <c r="W38" s="514">
        <v>213</v>
      </c>
      <c r="X38" s="514">
        <v>33</v>
      </c>
      <c r="Y38" s="514">
        <v>6</v>
      </c>
      <c r="Z38" s="521">
        <v>7</v>
      </c>
    </row>
    <row r="39" spans="1:26" s="349" customFormat="1" ht="12" customHeight="1">
      <c r="A39" s="718"/>
      <c r="B39" s="716"/>
      <c r="C39" s="393" t="s">
        <v>580</v>
      </c>
      <c r="D39" s="380">
        <f t="shared" si="1"/>
        <v>930</v>
      </c>
      <c r="E39" s="510">
        <f>SUM(F39:Y39)</f>
        <v>926</v>
      </c>
      <c r="F39" s="514">
        <v>2</v>
      </c>
      <c r="G39" s="514">
        <v>2</v>
      </c>
      <c r="H39" s="514">
        <v>60</v>
      </c>
      <c r="I39" s="514">
        <v>55</v>
      </c>
      <c r="J39" s="514">
        <v>20</v>
      </c>
      <c r="K39" s="514">
        <v>6</v>
      </c>
      <c r="L39" s="514">
        <v>26</v>
      </c>
      <c r="M39" s="514">
        <v>4</v>
      </c>
      <c r="N39" s="514">
        <v>21</v>
      </c>
      <c r="O39" s="514">
        <v>52</v>
      </c>
      <c r="P39" s="514">
        <v>47</v>
      </c>
      <c r="Q39" s="514">
        <v>154</v>
      </c>
      <c r="R39" s="514">
        <v>86</v>
      </c>
      <c r="S39" s="514">
        <v>162</v>
      </c>
      <c r="T39" s="514">
        <v>44</v>
      </c>
      <c r="U39" s="516" t="s">
        <v>654</v>
      </c>
      <c r="V39" s="511" t="s">
        <v>653</v>
      </c>
      <c r="W39" s="514">
        <v>166</v>
      </c>
      <c r="X39" s="514">
        <v>17</v>
      </c>
      <c r="Y39" s="514">
        <v>2</v>
      </c>
      <c r="Z39" s="518">
        <v>4</v>
      </c>
    </row>
    <row r="40" spans="1:26" s="347" customFormat="1" ht="12" customHeight="1">
      <c r="A40" s="717" t="s">
        <v>589</v>
      </c>
      <c r="B40" s="715" t="s">
        <v>581</v>
      </c>
      <c r="C40" s="393" t="s">
        <v>27</v>
      </c>
      <c r="D40" s="380">
        <f t="shared" si="1"/>
        <v>1097</v>
      </c>
      <c r="E40" s="510">
        <f>E41+E42</f>
        <v>1095</v>
      </c>
      <c r="F40" s="510">
        <f aca="true" t="shared" si="9" ref="F40:X40">F41+F42</f>
        <v>6</v>
      </c>
      <c r="G40" s="510">
        <f>G41</f>
        <v>2</v>
      </c>
      <c r="H40" s="510">
        <f t="shared" si="9"/>
        <v>45</v>
      </c>
      <c r="I40" s="510">
        <f t="shared" si="9"/>
        <v>77</v>
      </c>
      <c r="J40" s="510">
        <f t="shared" si="9"/>
        <v>32</v>
      </c>
      <c r="K40" s="510">
        <f t="shared" si="9"/>
        <v>16</v>
      </c>
      <c r="L40" s="510">
        <f t="shared" si="9"/>
        <v>23</v>
      </c>
      <c r="M40" s="510">
        <f t="shared" si="9"/>
        <v>5</v>
      </c>
      <c r="N40" s="510">
        <f>N41</f>
        <v>1</v>
      </c>
      <c r="O40" s="510">
        <f t="shared" si="9"/>
        <v>86</v>
      </c>
      <c r="P40" s="510">
        <f t="shared" si="9"/>
        <v>51</v>
      </c>
      <c r="Q40" s="510">
        <f t="shared" si="9"/>
        <v>224</v>
      </c>
      <c r="R40" s="510">
        <f t="shared" si="9"/>
        <v>168</v>
      </c>
      <c r="S40" s="510">
        <f t="shared" si="9"/>
        <v>215</v>
      </c>
      <c r="T40" s="510">
        <f t="shared" si="9"/>
        <v>49</v>
      </c>
      <c r="U40" s="511" t="s">
        <v>653</v>
      </c>
      <c r="V40" s="511" t="s">
        <v>653</v>
      </c>
      <c r="W40" s="510">
        <f t="shared" si="9"/>
        <v>80</v>
      </c>
      <c r="X40" s="510">
        <f t="shared" si="9"/>
        <v>14</v>
      </c>
      <c r="Y40" s="510">
        <f>Y41</f>
        <v>1</v>
      </c>
      <c r="Z40" s="521">
        <f>Z41</f>
        <v>2</v>
      </c>
    </row>
    <row r="41" spans="1:26" ht="12" customHeight="1">
      <c r="A41" s="718"/>
      <c r="B41" s="716"/>
      <c r="C41" s="393" t="s">
        <v>577</v>
      </c>
      <c r="D41" s="380">
        <f t="shared" si="1"/>
        <v>722</v>
      </c>
      <c r="E41" s="510">
        <f>SUM(F41:Y41)</f>
        <v>720</v>
      </c>
      <c r="F41" s="510">
        <v>3</v>
      </c>
      <c r="G41" s="510">
        <v>2</v>
      </c>
      <c r="H41" s="510">
        <v>28</v>
      </c>
      <c r="I41" s="510">
        <v>47</v>
      </c>
      <c r="J41" s="510">
        <v>20</v>
      </c>
      <c r="K41" s="510">
        <v>12</v>
      </c>
      <c r="L41" s="510">
        <v>14</v>
      </c>
      <c r="M41" s="510">
        <v>2</v>
      </c>
      <c r="N41" s="510">
        <v>1</v>
      </c>
      <c r="O41" s="510">
        <v>55</v>
      </c>
      <c r="P41" s="510">
        <v>32</v>
      </c>
      <c r="Q41" s="510">
        <v>130</v>
      </c>
      <c r="R41" s="510">
        <v>111</v>
      </c>
      <c r="S41" s="510">
        <v>158</v>
      </c>
      <c r="T41" s="510">
        <v>33</v>
      </c>
      <c r="U41" s="511" t="s">
        <v>653</v>
      </c>
      <c r="V41" s="511" t="s">
        <v>653</v>
      </c>
      <c r="W41" s="510">
        <v>59</v>
      </c>
      <c r="X41" s="510">
        <v>12</v>
      </c>
      <c r="Y41" s="510">
        <v>1</v>
      </c>
      <c r="Z41" s="510">
        <v>2</v>
      </c>
    </row>
    <row r="42" spans="1:26" s="349" customFormat="1" ht="12" customHeight="1">
      <c r="A42" s="718"/>
      <c r="B42" s="716"/>
      <c r="C42" s="393" t="s">
        <v>580</v>
      </c>
      <c r="D42" s="380">
        <f>E42</f>
        <v>375</v>
      </c>
      <c r="E42" s="510">
        <f>SUM(F42:Y42)</f>
        <v>375</v>
      </c>
      <c r="F42" s="510">
        <v>3</v>
      </c>
      <c r="G42" s="511" t="s">
        <v>60</v>
      </c>
      <c r="H42" s="510">
        <v>17</v>
      </c>
      <c r="I42" s="510">
        <v>30</v>
      </c>
      <c r="J42" s="510">
        <v>12</v>
      </c>
      <c r="K42" s="510">
        <v>4</v>
      </c>
      <c r="L42" s="510">
        <v>9</v>
      </c>
      <c r="M42" s="510">
        <v>3</v>
      </c>
      <c r="N42" s="511" t="s">
        <v>60</v>
      </c>
      <c r="O42" s="510">
        <v>31</v>
      </c>
      <c r="P42" s="510">
        <v>19</v>
      </c>
      <c r="Q42" s="510">
        <v>94</v>
      </c>
      <c r="R42" s="510">
        <v>57</v>
      </c>
      <c r="S42" s="510">
        <v>57</v>
      </c>
      <c r="T42" s="510">
        <v>16</v>
      </c>
      <c r="U42" s="511" t="s">
        <v>653</v>
      </c>
      <c r="V42" s="511" t="s">
        <v>653</v>
      </c>
      <c r="W42" s="510">
        <v>21</v>
      </c>
      <c r="X42" s="510">
        <v>2</v>
      </c>
      <c r="Y42" s="511" t="s">
        <v>658</v>
      </c>
      <c r="Z42" s="511" t="s">
        <v>60</v>
      </c>
    </row>
    <row r="43" spans="1:26" s="347" customFormat="1" ht="12" customHeight="1">
      <c r="A43" s="718"/>
      <c r="B43" s="715" t="s">
        <v>579</v>
      </c>
      <c r="C43" s="393" t="s">
        <v>27</v>
      </c>
      <c r="D43" s="380">
        <f t="shared" si="1"/>
        <v>1338</v>
      </c>
      <c r="E43" s="510">
        <f aca="true" t="shared" si="10" ref="E43:X43">E44+E45</f>
        <v>1337</v>
      </c>
      <c r="F43" s="510">
        <f>F45</f>
        <v>2</v>
      </c>
      <c r="G43" s="510">
        <f t="shared" si="10"/>
        <v>5</v>
      </c>
      <c r="H43" s="510">
        <f t="shared" si="10"/>
        <v>59</v>
      </c>
      <c r="I43" s="510">
        <f t="shared" si="10"/>
        <v>89</v>
      </c>
      <c r="J43" s="510">
        <f t="shared" si="10"/>
        <v>32</v>
      </c>
      <c r="K43" s="510">
        <f t="shared" si="10"/>
        <v>19</v>
      </c>
      <c r="L43" s="510">
        <f t="shared" si="10"/>
        <v>34</v>
      </c>
      <c r="M43" s="510">
        <f t="shared" si="10"/>
        <v>4</v>
      </c>
      <c r="N43" s="510">
        <f t="shared" si="10"/>
        <v>22</v>
      </c>
      <c r="O43" s="510">
        <f t="shared" si="10"/>
        <v>109</v>
      </c>
      <c r="P43" s="510">
        <f t="shared" si="10"/>
        <v>65</v>
      </c>
      <c r="Q43" s="510">
        <f t="shared" si="10"/>
        <v>254</v>
      </c>
      <c r="R43" s="510">
        <f t="shared" si="10"/>
        <v>153</v>
      </c>
      <c r="S43" s="510">
        <f t="shared" si="10"/>
        <v>267</v>
      </c>
      <c r="T43" s="510">
        <f t="shared" si="10"/>
        <v>48</v>
      </c>
      <c r="U43" s="511" t="s">
        <v>653</v>
      </c>
      <c r="V43" s="511" t="s">
        <v>653</v>
      </c>
      <c r="W43" s="510">
        <f t="shared" si="10"/>
        <v>153</v>
      </c>
      <c r="X43" s="510">
        <f t="shared" si="10"/>
        <v>22</v>
      </c>
      <c r="Y43" s="511" t="s">
        <v>653</v>
      </c>
      <c r="Z43" s="521">
        <f>Z45</f>
        <v>1</v>
      </c>
    </row>
    <row r="44" spans="1:26" ht="12" customHeight="1">
      <c r="A44" s="718"/>
      <c r="B44" s="716"/>
      <c r="C44" s="393" t="s">
        <v>577</v>
      </c>
      <c r="D44" s="380">
        <f>E44</f>
        <v>800</v>
      </c>
      <c r="E44" s="510">
        <f>SUM(F44:Y44)</f>
        <v>800</v>
      </c>
      <c r="F44" s="516" t="s">
        <v>60</v>
      </c>
      <c r="G44" s="514">
        <v>3</v>
      </c>
      <c r="H44" s="514">
        <v>35</v>
      </c>
      <c r="I44" s="514">
        <v>57</v>
      </c>
      <c r="J44" s="514">
        <v>18</v>
      </c>
      <c r="K44" s="514">
        <v>9</v>
      </c>
      <c r="L44" s="514">
        <v>14</v>
      </c>
      <c r="M44" s="514">
        <v>3</v>
      </c>
      <c r="N44" s="514">
        <v>10</v>
      </c>
      <c r="O44" s="514">
        <v>61</v>
      </c>
      <c r="P44" s="514">
        <v>33</v>
      </c>
      <c r="Q44" s="514">
        <v>155</v>
      </c>
      <c r="R44" s="514">
        <v>93</v>
      </c>
      <c r="S44" s="514">
        <v>169</v>
      </c>
      <c r="T44" s="515">
        <v>30</v>
      </c>
      <c r="U44" s="516" t="s">
        <v>653</v>
      </c>
      <c r="V44" s="516" t="s">
        <v>653</v>
      </c>
      <c r="W44" s="514">
        <v>95</v>
      </c>
      <c r="X44" s="514">
        <v>15</v>
      </c>
      <c r="Y44" s="516" t="s">
        <v>653</v>
      </c>
      <c r="Z44" s="519" t="s">
        <v>60</v>
      </c>
    </row>
    <row r="45" spans="1:26" s="349" customFormat="1" ht="12" customHeight="1">
      <c r="A45" s="718"/>
      <c r="B45" s="716"/>
      <c r="C45" s="393" t="s">
        <v>580</v>
      </c>
      <c r="D45" s="380">
        <f t="shared" si="1"/>
        <v>538</v>
      </c>
      <c r="E45" s="510">
        <f>SUM(F45:Y45)</f>
        <v>537</v>
      </c>
      <c r="F45" s="514">
        <v>2</v>
      </c>
      <c r="G45" s="514">
        <v>2</v>
      </c>
      <c r="H45" s="514">
        <v>24</v>
      </c>
      <c r="I45" s="514">
        <v>32</v>
      </c>
      <c r="J45" s="514">
        <v>14</v>
      </c>
      <c r="K45" s="514">
        <v>10</v>
      </c>
      <c r="L45" s="514">
        <v>20</v>
      </c>
      <c r="M45" s="514">
        <v>1</v>
      </c>
      <c r="N45" s="514">
        <v>12</v>
      </c>
      <c r="O45" s="514">
        <v>48</v>
      </c>
      <c r="P45" s="514">
        <v>32</v>
      </c>
      <c r="Q45" s="514">
        <v>99</v>
      </c>
      <c r="R45" s="514">
        <v>60</v>
      </c>
      <c r="S45" s="514">
        <v>98</v>
      </c>
      <c r="T45" s="514">
        <v>18</v>
      </c>
      <c r="U45" s="516" t="s">
        <v>653</v>
      </c>
      <c r="V45" s="511" t="s">
        <v>653</v>
      </c>
      <c r="W45" s="514">
        <v>58</v>
      </c>
      <c r="X45" s="514">
        <v>7</v>
      </c>
      <c r="Y45" s="516" t="s">
        <v>653</v>
      </c>
      <c r="Z45" s="518">
        <v>1</v>
      </c>
    </row>
    <row r="46" spans="1:26" s="347" customFormat="1" ht="12" customHeight="1">
      <c r="A46" s="717" t="s">
        <v>590</v>
      </c>
      <c r="B46" s="715" t="s">
        <v>581</v>
      </c>
      <c r="C46" s="393" t="s">
        <v>27</v>
      </c>
      <c r="D46" s="380">
        <f t="shared" si="1"/>
        <v>2367</v>
      </c>
      <c r="E46" s="510">
        <f>E47+E48</f>
        <v>2365</v>
      </c>
      <c r="F46" s="510">
        <f aca="true" t="shared" si="11" ref="F46:X46">F47+F48</f>
        <v>6</v>
      </c>
      <c r="G46" s="510">
        <f t="shared" si="11"/>
        <v>10</v>
      </c>
      <c r="H46" s="510">
        <f t="shared" si="11"/>
        <v>95</v>
      </c>
      <c r="I46" s="510">
        <f t="shared" si="11"/>
        <v>156</v>
      </c>
      <c r="J46" s="510">
        <f t="shared" si="11"/>
        <v>60</v>
      </c>
      <c r="K46" s="510">
        <f t="shared" si="11"/>
        <v>26</v>
      </c>
      <c r="L46" s="510">
        <f t="shared" si="11"/>
        <v>27</v>
      </c>
      <c r="M46" s="510">
        <f t="shared" si="11"/>
        <v>10</v>
      </c>
      <c r="N46" s="510">
        <f>N47</f>
        <v>3</v>
      </c>
      <c r="O46" s="510">
        <f t="shared" si="11"/>
        <v>113</v>
      </c>
      <c r="P46" s="510">
        <f t="shared" si="11"/>
        <v>132</v>
      </c>
      <c r="Q46" s="510">
        <f t="shared" si="11"/>
        <v>499</v>
      </c>
      <c r="R46" s="510">
        <f t="shared" si="11"/>
        <v>387</v>
      </c>
      <c r="S46" s="510">
        <f t="shared" si="11"/>
        <v>425</v>
      </c>
      <c r="T46" s="510">
        <f t="shared" si="11"/>
        <v>148</v>
      </c>
      <c r="U46" s="510">
        <f t="shared" si="11"/>
        <v>2</v>
      </c>
      <c r="V46" s="511" t="s">
        <v>653</v>
      </c>
      <c r="W46" s="510">
        <f t="shared" si="11"/>
        <v>221</v>
      </c>
      <c r="X46" s="510">
        <f t="shared" si="11"/>
        <v>42</v>
      </c>
      <c r="Y46" s="510">
        <f>Y47</f>
        <v>3</v>
      </c>
      <c r="Z46" s="521">
        <f>Z47</f>
        <v>2</v>
      </c>
    </row>
    <row r="47" spans="1:26" ht="12" customHeight="1">
      <c r="A47" s="718"/>
      <c r="B47" s="716"/>
      <c r="C47" s="393" t="s">
        <v>577</v>
      </c>
      <c r="D47" s="380">
        <f t="shared" si="1"/>
        <v>1387</v>
      </c>
      <c r="E47" s="510">
        <f>SUM(F47:Y47)</f>
        <v>1385</v>
      </c>
      <c r="F47" s="510">
        <v>3</v>
      </c>
      <c r="G47" s="510">
        <v>3</v>
      </c>
      <c r="H47" s="510">
        <v>50</v>
      </c>
      <c r="I47" s="510">
        <v>74</v>
      </c>
      <c r="J47" s="510">
        <v>21</v>
      </c>
      <c r="K47" s="510">
        <v>18</v>
      </c>
      <c r="L47" s="510">
        <v>11</v>
      </c>
      <c r="M47" s="510">
        <v>4</v>
      </c>
      <c r="N47" s="510">
        <v>3</v>
      </c>
      <c r="O47" s="510">
        <v>72</v>
      </c>
      <c r="P47" s="510">
        <v>74</v>
      </c>
      <c r="Q47" s="510">
        <v>267</v>
      </c>
      <c r="R47" s="510">
        <v>200</v>
      </c>
      <c r="S47" s="510">
        <v>288</v>
      </c>
      <c r="T47" s="510">
        <v>88</v>
      </c>
      <c r="U47" s="510">
        <v>1</v>
      </c>
      <c r="V47" s="511" t="s">
        <v>653</v>
      </c>
      <c r="W47" s="510">
        <v>176</v>
      </c>
      <c r="X47" s="510">
        <v>29</v>
      </c>
      <c r="Y47" s="510">
        <v>3</v>
      </c>
      <c r="Z47" s="510">
        <v>2</v>
      </c>
    </row>
    <row r="48" spans="1:26" s="349" customFormat="1" ht="12" customHeight="1">
      <c r="A48" s="718"/>
      <c r="B48" s="716"/>
      <c r="C48" s="393" t="s">
        <v>580</v>
      </c>
      <c r="D48" s="380">
        <f>E48</f>
        <v>980</v>
      </c>
      <c r="E48" s="510">
        <f>SUM(F48:Y48)</f>
        <v>980</v>
      </c>
      <c r="F48" s="510">
        <v>3</v>
      </c>
      <c r="G48" s="510">
        <v>7</v>
      </c>
      <c r="H48" s="510">
        <v>45</v>
      </c>
      <c r="I48" s="510">
        <v>82</v>
      </c>
      <c r="J48" s="510">
        <v>39</v>
      </c>
      <c r="K48" s="510">
        <v>8</v>
      </c>
      <c r="L48" s="510">
        <v>16</v>
      </c>
      <c r="M48" s="510">
        <v>6</v>
      </c>
      <c r="N48" s="511" t="s">
        <v>60</v>
      </c>
      <c r="O48" s="510">
        <v>41</v>
      </c>
      <c r="P48" s="510">
        <v>58</v>
      </c>
      <c r="Q48" s="510">
        <v>232</v>
      </c>
      <c r="R48" s="510">
        <v>187</v>
      </c>
      <c r="S48" s="510">
        <v>137</v>
      </c>
      <c r="T48" s="510">
        <v>60</v>
      </c>
      <c r="U48" s="510">
        <v>1</v>
      </c>
      <c r="V48" s="511" t="s">
        <v>653</v>
      </c>
      <c r="W48" s="510">
        <v>45</v>
      </c>
      <c r="X48" s="510">
        <v>13</v>
      </c>
      <c r="Y48" s="511" t="s">
        <v>60</v>
      </c>
      <c r="Z48" s="511" t="s">
        <v>60</v>
      </c>
    </row>
    <row r="49" spans="1:26" s="347" customFormat="1" ht="12" customHeight="1">
      <c r="A49" s="718"/>
      <c r="B49" s="715" t="s">
        <v>579</v>
      </c>
      <c r="C49" s="393" t="s">
        <v>27</v>
      </c>
      <c r="D49" s="380">
        <f t="shared" si="1"/>
        <v>2691</v>
      </c>
      <c r="E49" s="510">
        <f aca="true" t="shared" si="12" ref="E49:Z49">E50+E51</f>
        <v>2672</v>
      </c>
      <c r="F49" s="510">
        <f t="shared" si="12"/>
        <v>7</v>
      </c>
      <c r="G49" s="510">
        <f t="shared" si="12"/>
        <v>5</v>
      </c>
      <c r="H49" s="510">
        <f t="shared" si="12"/>
        <v>111</v>
      </c>
      <c r="I49" s="510">
        <f t="shared" si="12"/>
        <v>141</v>
      </c>
      <c r="J49" s="510">
        <f t="shared" si="12"/>
        <v>57</v>
      </c>
      <c r="K49" s="510">
        <f t="shared" si="12"/>
        <v>25</v>
      </c>
      <c r="L49" s="510">
        <f t="shared" si="12"/>
        <v>57</v>
      </c>
      <c r="M49" s="510">
        <f t="shared" si="12"/>
        <v>14</v>
      </c>
      <c r="N49" s="510">
        <f t="shared" si="12"/>
        <v>45</v>
      </c>
      <c r="O49" s="510">
        <f t="shared" si="12"/>
        <v>105</v>
      </c>
      <c r="P49" s="510">
        <f t="shared" si="12"/>
        <v>115</v>
      </c>
      <c r="Q49" s="510">
        <f t="shared" si="12"/>
        <v>445</v>
      </c>
      <c r="R49" s="510">
        <f t="shared" si="12"/>
        <v>355</v>
      </c>
      <c r="S49" s="510">
        <f t="shared" si="12"/>
        <v>545</v>
      </c>
      <c r="T49" s="510">
        <f t="shared" si="12"/>
        <v>141</v>
      </c>
      <c r="U49" s="511" t="s">
        <v>654</v>
      </c>
      <c r="V49" s="511" t="s">
        <v>653</v>
      </c>
      <c r="W49" s="510">
        <f t="shared" si="12"/>
        <v>429</v>
      </c>
      <c r="X49" s="510">
        <f t="shared" si="12"/>
        <v>72</v>
      </c>
      <c r="Y49" s="510">
        <f t="shared" si="12"/>
        <v>3</v>
      </c>
      <c r="Z49" s="521">
        <f t="shared" si="12"/>
        <v>19</v>
      </c>
    </row>
    <row r="50" spans="1:26" ht="12" customHeight="1">
      <c r="A50" s="718"/>
      <c r="B50" s="716"/>
      <c r="C50" s="393" t="s">
        <v>577</v>
      </c>
      <c r="D50" s="380">
        <f t="shared" si="1"/>
        <v>1302</v>
      </c>
      <c r="E50" s="510">
        <f>SUM(F50:Y50)</f>
        <v>1287</v>
      </c>
      <c r="F50" s="514">
        <v>1</v>
      </c>
      <c r="G50" s="514">
        <v>3</v>
      </c>
      <c r="H50" s="514">
        <v>52</v>
      </c>
      <c r="I50" s="514">
        <v>67</v>
      </c>
      <c r="J50" s="514">
        <v>32</v>
      </c>
      <c r="K50" s="514">
        <v>14</v>
      </c>
      <c r="L50" s="514">
        <v>20</v>
      </c>
      <c r="M50" s="514">
        <v>5</v>
      </c>
      <c r="N50" s="514">
        <v>22</v>
      </c>
      <c r="O50" s="514">
        <v>53</v>
      </c>
      <c r="P50" s="514">
        <v>50</v>
      </c>
      <c r="Q50" s="514">
        <v>211</v>
      </c>
      <c r="R50" s="514">
        <v>158</v>
      </c>
      <c r="S50" s="514">
        <v>248</v>
      </c>
      <c r="T50" s="515">
        <v>51</v>
      </c>
      <c r="U50" s="516" t="s">
        <v>653</v>
      </c>
      <c r="V50" s="516" t="s">
        <v>653</v>
      </c>
      <c r="W50" s="514">
        <v>250</v>
      </c>
      <c r="X50" s="514">
        <v>48</v>
      </c>
      <c r="Y50" s="514">
        <v>2</v>
      </c>
      <c r="Z50" s="521">
        <v>15</v>
      </c>
    </row>
    <row r="51" spans="1:26" s="349" customFormat="1" ht="12" customHeight="1">
      <c r="A51" s="718"/>
      <c r="B51" s="716"/>
      <c r="C51" s="393" t="s">
        <v>580</v>
      </c>
      <c r="D51" s="380">
        <f t="shared" si="1"/>
        <v>1389</v>
      </c>
      <c r="E51" s="510">
        <f>SUM(F51:Y51)</f>
        <v>1385</v>
      </c>
      <c r="F51" s="514">
        <v>6</v>
      </c>
      <c r="G51" s="514">
        <v>2</v>
      </c>
      <c r="H51" s="514">
        <v>59</v>
      </c>
      <c r="I51" s="514">
        <v>74</v>
      </c>
      <c r="J51" s="514">
        <v>25</v>
      </c>
      <c r="K51" s="514">
        <v>11</v>
      </c>
      <c r="L51" s="514">
        <v>37</v>
      </c>
      <c r="M51" s="514">
        <v>9</v>
      </c>
      <c r="N51" s="514">
        <v>23</v>
      </c>
      <c r="O51" s="514">
        <v>52</v>
      </c>
      <c r="P51" s="514">
        <v>65</v>
      </c>
      <c r="Q51" s="514">
        <v>234</v>
      </c>
      <c r="R51" s="514">
        <v>197</v>
      </c>
      <c r="S51" s="514">
        <v>297</v>
      </c>
      <c r="T51" s="514">
        <v>90</v>
      </c>
      <c r="U51" s="516" t="s">
        <v>653</v>
      </c>
      <c r="V51" s="511" t="s">
        <v>653</v>
      </c>
      <c r="W51" s="514">
        <v>179</v>
      </c>
      <c r="X51" s="514">
        <v>24</v>
      </c>
      <c r="Y51" s="514">
        <v>1</v>
      </c>
      <c r="Z51" s="518">
        <v>4</v>
      </c>
    </row>
    <row r="52" spans="1:26" ht="0.75" customHeight="1" thickBot="1">
      <c r="A52" s="350"/>
      <c r="B52" s="354"/>
      <c r="C52" s="351"/>
      <c r="D52" s="35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</row>
  </sheetData>
  <mergeCells count="60">
    <mergeCell ref="A34:A39"/>
    <mergeCell ref="A40:A45"/>
    <mergeCell ref="A46:A51"/>
    <mergeCell ref="Y8:Y9"/>
    <mergeCell ref="A10:A15"/>
    <mergeCell ref="A16:A21"/>
    <mergeCell ref="A22:A27"/>
    <mergeCell ref="A28:A33"/>
    <mergeCell ref="B40:B42"/>
    <mergeCell ref="B43:B45"/>
    <mergeCell ref="B46:B48"/>
    <mergeCell ref="B49:B51"/>
    <mergeCell ref="B28:B30"/>
    <mergeCell ref="B31:B33"/>
    <mergeCell ref="B34:B36"/>
    <mergeCell ref="B37:B39"/>
    <mergeCell ref="B22:B24"/>
    <mergeCell ref="B25:B27"/>
    <mergeCell ref="B10:B12"/>
    <mergeCell ref="B13:B15"/>
    <mergeCell ref="B16:B18"/>
    <mergeCell ref="B19:B21"/>
    <mergeCell ref="X7:X8"/>
    <mergeCell ref="T7:T8"/>
    <mergeCell ref="U7:U8"/>
    <mergeCell ref="V7:V8"/>
    <mergeCell ref="W7:W8"/>
    <mergeCell ref="W5:X6"/>
    <mergeCell ref="Y5:Y7"/>
    <mergeCell ref="J6:K6"/>
    <mergeCell ref="A7:A8"/>
    <mergeCell ref="C7:C9"/>
    <mergeCell ref="D7:D9"/>
    <mergeCell ref="F7:F8"/>
    <mergeCell ref="G7:G8"/>
    <mergeCell ref="H7:H8"/>
    <mergeCell ref="I7:I8"/>
    <mergeCell ref="H5:I6"/>
    <mergeCell ref="O5:P6"/>
    <mergeCell ref="Q5:R6"/>
    <mergeCell ref="S5:T6"/>
    <mergeCell ref="E4:M4"/>
    <mergeCell ref="S4:T4"/>
    <mergeCell ref="N2:Z2"/>
    <mergeCell ref="A2:M2"/>
    <mergeCell ref="Z4:Z7"/>
    <mergeCell ref="A5:A6"/>
    <mergeCell ref="C5:C6"/>
    <mergeCell ref="D5:D6"/>
    <mergeCell ref="E5:E6"/>
    <mergeCell ref="F5:G6"/>
    <mergeCell ref="U5:V6"/>
    <mergeCell ref="S7:S8"/>
    <mergeCell ref="J7:J8"/>
    <mergeCell ref="K7:K8"/>
    <mergeCell ref="L7:M7"/>
    <mergeCell ref="O7:O8"/>
    <mergeCell ref="P7:P8"/>
    <mergeCell ref="Q7:Q8"/>
    <mergeCell ref="R7:R8"/>
  </mergeCells>
  <printOptions horizontalCentered="1"/>
  <pageMargins left="1.1023622047244095" right="1.1023622047244095" top="1.5748031496062993" bottom="1.4960629921259843" header="0.5118110236220472" footer="0.9055118110236221"/>
  <pageSetup firstPageNumber="5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="120" zoomScaleNormal="120" zoomScaleSheetLayoutView="100" workbookViewId="0" topLeftCell="A1">
      <selection activeCell="K7" sqref="K7:K8"/>
    </sheetView>
  </sheetViews>
  <sheetFormatPr defaultColWidth="9.00390625" defaultRowHeight="16.5"/>
  <cols>
    <col min="1" max="1" width="8.125" style="340" customWidth="1"/>
    <col min="2" max="2" width="5.125" style="340" customWidth="1"/>
    <col min="3" max="3" width="14.125" style="340" customWidth="1"/>
    <col min="4" max="4" width="5.625" style="348" customWidth="1"/>
    <col min="5" max="5" width="4.875" style="348" customWidth="1"/>
    <col min="6" max="6" width="5.125" style="348" customWidth="1"/>
    <col min="7" max="7" width="4.625" style="348" customWidth="1"/>
    <col min="8" max="8" width="5.125" style="348" customWidth="1"/>
    <col min="9" max="9" width="4.625" style="348" customWidth="1"/>
    <col min="10" max="10" width="5.125" style="348" customWidth="1"/>
    <col min="11" max="11" width="4.625" style="348" customWidth="1"/>
    <col min="12" max="12" width="5.125" style="348" customWidth="1"/>
    <col min="13" max="13" width="4.625" style="348" customWidth="1"/>
    <col min="14" max="14" width="7.125" style="348" customWidth="1"/>
    <col min="15" max="15" width="6.125" style="348" customWidth="1"/>
    <col min="16" max="16" width="5.375" style="348" customWidth="1"/>
    <col min="17" max="17" width="6.125" style="348" customWidth="1"/>
    <col min="18" max="18" width="5.375" style="348" customWidth="1"/>
    <col min="19" max="19" width="6.125" style="348" customWidth="1"/>
    <col min="20" max="20" width="5.375" style="348" customWidth="1"/>
    <col min="21" max="21" width="6.125" style="348" customWidth="1"/>
    <col min="22" max="22" width="5.375" style="348" customWidth="1"/>
    <col min="23" max="23" width="6.125" style="348" customWidth="1"/>
    <col min="24" max="24" width="5.375" style="348" customWidth="1"/>
    <col min="25" max="26" width="6.125" style="348" customWidth="1"/>
    <col min="27" max="16384" width="9.00390625" style="348" customWidth="1"/>
  </cols>
  <sheetData>
    <row r="1" spans="1:26" s="337" customFormat="1" ht="18" customHeight="1">
      <c r="A1" s="118" t="s">
        <v>131</v>
      </c>
      <c r="B1" s="335"/>
      <c r="C1" s="335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Z1" s="338" t="s">
        <v>142</v>
      </c>
    </row>
    <row r="2" spans="1:26" s="339" customFormat="1" ht="24" customHeight="1">
      <c r="A2" s="733" t="s">
        <v>798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8" t="s">
        <v>793</v>
      </c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s="353" customFormat="1" ht="13.5" customHeight="1" thickBot="1">
      <c r="A3" s="361"/>
      <c r="B3" s="361"/>
      <c r="C3" s="362"/>
      <c r="D3" s="363"/>
      <c r="E3" s="364"/>
      <c r="I3" s="365"/>
      <c r="L3" s="367"/>
      <c r="M3" s="366" t="s">
        <v>593</v>
      </c>
      <c r="N3" s="368"/>
      <c r="O3" s="368"/>
      <c r="P3" s="369"/>
      <c r="Q3" s="370"/>
      <c r="R3" s="371"/>
      <c r="V3" s="369"/>
      <c r="W3" s="372"/>
      <c r="X3" s="372"/>
      <c r="Y3" s="372"/>
      <c r="Z3" s="373" t="s">
        <v>594</v>
      </c>
    </row>
    <row r="4" spans="1:26" s="278" customFormat="1" ht="12" customHeight="1">
      <c r="A4" s="341"/>
      <c r="B4" s="342"/>
      <c r="C4" s="343"/>
      <c r="D4" s="344"/>
      <c r="E4" s="634" t="s">
        <v>198</v>
      </c>
      <c r="F4" s="635"/>
      <c r="G4" s="635"/>
      <c r="H4" s="635"/>
      <c r="I4" s="635"/>
      <c r="J4" s="635"/>
      <c r="K4" s="635"/>
      <c r="L4" s="635"/>
      <c r="M4" s="635"/>
      <c r="N4" s="245"/>
      <c r="O4" s="246"/>
      <c r="P4" s="247"/>
      <c r="Q4" s="247"/>
      <c r="R4" s="247"/>
      <c r="S4" s="617" t="s">
        <v>482</v>
      </c>
      <c r="T4" s="617"/>
      <c r="U4" s="247"/>
      <c r="V4" s="355"/>
      <c r="W4" s="249"/>
      <c r="X4" s="248"/>
      <c r="Y4" s="250"/>
      <c r="Z4" s="662" t="s">
        <v>199</v>
      </c>
    </row>
    <row r="5" spans="1:26" s="278" customFormat="1" ht="12" customHeight="1">
      <c r="A5" s="724" t="s">
        <v>495</v>
      </c>
      <c r="B5" s="381"/>
      <c r="C5" s="726" t="s">
        <v>572</v>
      </c>
      <c r="D5" s="728" t="s">
        <v>210</v>
      </c>
      <c r="E5" s="630" t="s">
        <v>582</v>
      </c>
      <c r="F5" s="622" t="s">
        <v>484</v>
      </c>
      <c r="G5" s="642"/>
      <c r="H5" s="622" t="s">
        <v>485</v>
      </c>
      <c r="I5" s="642"/>
      <c r="J5" s="249"/>
      <c r="K5" s="374" t="s">
        <v>486</v>
      </c>
      <c r="L5" s="249"/>
      <c r="M5" s="252" t="s">
        <v>487</v>
      </c>
      <c r="N5" s="253"/>
      <c r="O5" s="622" t="s">
        <v>488</v>
      </c>
      <c r="P5" s="642"/>
      <c r="Q5" s="622" t="s">
        <v>489</v>
      </c>
      <c r="R5" s="642"/>
      <c r="S5" s="622" t="s">
        <v>490</v>
      </c>
      <c r="T5" s="642"/>
      <c r="U5" s="622" t="s">
        <v>491</v>
      </c>
      <c r="V5" s="642"/>
      <c r="W5" s="622" t="s">
        <v>477</v>
      </c>
      <c r="X5" s="642"/>
      <c r="Y5" s="639" t="s">
        <v>202</v>
      </c>
      <c r="Z5" s="737"/>
    </row>
    <row r="6" spans="1:26" s="278" customFormat="1" ht="21.75" customHeight="1">
      <c r="A6" s="725"/>
      <c r="B6" s="382" t="s">
        <v>200</v>
      </c>
      <c r="C6" s="727"/>
      <c r="D6" s="729"/>
      <c r="E6" s="723"/>
      <c r="F6" s="730"/>
      <c r="G6" s="731"/>
      <c r="H6" s="730"/>
      <c r="I6" s="731"/>
      <c r="J6" s="620" t="s">
        <v>492</v>
      </c>
      <c r="K6" s="621"/>
      <c r="L6" s="255" t="s">
        <v>203</v>
      </c>
      <c r="M6" s="249"/>
      <c r="N6" s="256" t="s">
        <v>125</v>
      </c>
      <c r="O6" s="730"/>
      <c r="P6" s="731"/>
      <c r="Q6" s="730"/>
      <c r="R6" s="731"/>
      <c r="S6" s="730"/>
      <c r="T6" s="731"/>
      <c r="U6" s="730"/>
      <c r="V6" s="731"/>
      <c r="W6" s="730"/>
      <c r="X6" s="731"/>
      <c r="Y6" s="640"/>
      <c r="Z6" s="737"/>
    </row>
    <row r="7" spans="1:26" s="278" customFormat="1" ht="21.75" customHeight="1">
      <c r="A7" s="655" t="s">
        <v>563</v>
      </c>
      <c r="B7" s="381" t="s">
        <v>474</v>
      </c>
      <c r="C7" s="734" t="s">
        <v>564</v>
      </c>
      <c r="D7" s="719" t="s">
        <v>207</v>
      </c>
      <c r="E7" s="254"/>
      <c r="F7" s="618" t="s">
        <v>128</v>
      </c>
      <c r="G7" s="618" t="s">
        <v>166</v>
      </c>
      <c r="H7" s="618" t="s">
        <v>128</v>
      </c>
      <c r="I7" s="618" t="s">
        <v>166</v>
      </c>
      <c r="J7" s="618" t="s">
        <v>128</v>
      </c>
      <c r="K7" s="618" t="s">
        <v>166</v>
      </c>
      <c r="L7" s="620" t="s">
        <v>28</v>
      </c>
      <c r="M7" s="621"/>
      <c r="N7" s="258" t="s">
        <v>475</v>
      </c>
      <c r="O7" s="618" t="s">
        <v>128</v>
      </c>
      <c r="P7" s="618" t="s">
        <v>166</v>
      </c>
      <c r="Q7" s="618" t="s">
        <v>128</v>
      </c>
      <c r="R7" s="618" t="s">
        <v>166</v>
      </c>
      <c r="S7" s="618" t="s">
        <v>128</v>
      </c>
      <c r="T7" s="618" t="s">
        <v>166</v>
      </c>
      <c r="U7" s="618" t="s">
        <v>128</v>
      </c>
      <c r="V7" s="618" t="s">
        <v>166</v>
      </c>
      <c r="W7" s="618" t="s">
        <v>128</v>
      </c>
      <c r="X7" s="618" t="s">
        <v>166</v>
      </c>
      <c r="Y7" s="640"/>
      <c r="Z7" s="737"/>
    </row>
    <row r="8" spans="1:26" s="278" customFormat="1" ht="12" customHeight="1">
      <c r="A8" s="655"/>
      <c r="B8" s="381"/>
      <c r="C8" s="734"/>
      <c r="D8" s="719"/>
      <c r="E8" s="254"/>
      <c r="F8" s="619"/>
      <c r="G8" s="619"/>
      <c r="H8" s="619"/>
      <c r="I8" s="619"/>
      <c r="J8" s="619"/>
      <c r="K8" s="619"/>
      <c r="L8" s="257" t="s">
        <v>128</v>
      </c>
      <c r="M8" s="257" t="s">
        <v>166</v>
      </c>
      <c r="N8" s="259" t="s">
        <v>166</v>
      </c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45" t="s">
        <v>441</v>
      </c>
      <c r="Z8" s="260"/>
    </row>
    <row r="9" spans="1:26" s="279" customFormat="1" ht="12" customHeight="1" thickBot="1">
      <c r="A9" s="297"/>
      <c r="B9" s="383"/>
      <c r="C9" s="735"/>
      <c r="D9" s="720"/>
      <c r="E9" s="377" t="s">
        <v>208</v>
      </c>
      <c r="F9" s="376" t="s">
        <v>124</v>
      </c>
      <c r="G9" s="376" t="s">
        <v>209</v>
      </c>
      <c r="H9" s="376" t="s">
        <v>124</v>
      </c>
      <c r="I9" s="376" t="s">
        <v>209</v>
      </c>
      <c r="J9" s="376" t="s">
        <v>124</v>
      </c>
      <c r="K9" s="376" t="s">
        <v>209</v>
      </c>
      <c r="L9" s="375" t="s">
        <v>124</v>
      </c>
      <c r="M9" s="376" t="s">
        <v>209</v>
      </c>
      <c r="N9" s="262" t="s">
        <v>209</v>
      </c>
      <c r="O9" s="262" t="s">
        <v>124</v>
      </c>
      <c r="P9" s="262" t="s">
        <v>209</v>
      </c>
      <c r="Q9" s="262" t="s">
        <v>124</v>
      </c>
      <c r="R9" s="262" t="s">
        <v>209</v>
      </c>
      <c r="S9" s="262" t="s">
        <v>124</v>
      </c>
      <c r="T9" s="262" t="s">
        <v>209</v>
      </c>
      <c r="U9" s="262" t="s">
        <v>124</v>
      </c>
      <c r="V9" s="262" t="s">
        <v>209</v>
      </c>
      <c r="W9" s="262" t="s">
        <v>124</v>
      </c>
      <c r="X9" s="262" t="s">
        <v>209</v>
      </c>
      <c r="Y9" s="736"/>
      <c r="Z9" s="264" t="s">
        <v>126</v>
      </c>
    </row>
    <row r="10" spans="1:26" s="392" customFormat="1" ht="12" customHeight="1">
      <c r="A10" s="722" t="s">
        <v>595</v>
      </c>
      <c r="B10" s="721" t="s">
        <v>596</v>
      </c>
      <c r="C10" s="391" t="s">
        <v>27</v>
      </c>
      <c r="D10" s="523">
        <f aca="true" t="shared" si="0" ref="D10:D51">E10+Z10</f>
        <v>1260</v>
      </c>
      <c r="E10" s="524">
        <f aca="true" t="shared" si="1" ref="E10:Z10">E11+E12</f>
        <v>1257</v>
      </c>
      <c r="F10" s="524">
        <f t="shared" si="1"/>
        <v>4</v>
      </c>
      <c r="G10" s="524">
        <f t="shared" si="1"/>
        <v>4</v>
      </c>
      <c r="H10" s="524">
        <f t="shared" si="1"/>
        <v>48</v>
      </c>
      <c r="I10" s="524">
        <f t="shared" si="1"/>
        <v>70</v>
      </c>
      <c r="J10" s="524">
        <f t="shared" si="1"/>
        <v>32</v>
      </c>
      <c r="K10" s="524">
        <f t="shared" si="1"/>
        <v>21</v>
      </c>
      <c r="L10" s="524">
        <f t="shared" si="1"/>
        <v>26</v>
      </c>
      <c r="M10" s="524">
        <f>M11</f>
        <v>4</v>
      </c>
      <c r="N10" s="524">
        <f t="shared" si="1"/>
        <v>4</v>
      </c>
      <c r="O10" s="524">
        <f t="shared" si="1"/>
        <v>107</v>
      </c>
      <c r="P10" s="524">
        <f t="shared" si="1"/>
        <v>75</v>
      </c>
      <c r="Q10" s="524">
        <f t="shared" si="1"/>
        <v>276</v>
      </c>
      <c r="R10" s="524">
        <f t="shared" si="1"/>
        <v>157</v>
      </c>
      <c r="S10" s="524">
        <f t="shared" si="1"/>
        <v>261</v>
      </c>
      <c r="T10" s="524">
        <f t="shared" si="1"/>
        <v>62</v>
      </c>
      <c r="U10" s="525" t="s">
        <v>660</v>
      </c>
      <c r="V10" s="525" t="s">
        <v>660</v>
      </c>
      <c r="W10" s="524">
        <f t="shared" si="1"/>
        <v>83</v>
      </c>
      <c r="X10" s="524">
        <f t="shared" si="1"/>
        <v>23</v>
      </c>
      <c r="Y10" s="525" t="s">
        <v>660</v>
      </c>
      <c r="Z10" s="526">
        <f t="shared" si="1"/>
        <v>3</v>
      </c>
    </row>
    <row r="11" spans="1:26" s="392" customFormat="1" ht="12" customHeight="1">
      <c r="A11" s="718"/>
      <c r="B11" s="716"/>
      <c r="C11" s="393" t="s">
        <v>577</v>
      </c>
      <c r="D11" s="379">
        <f t="shared" si="0"/>
        <v>964</v>
      </c>
      <c r="E11" s="504">
        <f>SUM(F11:Y11)</f>
        <v>962</v>
      </c>
      <c r="F11" s="504">
        <v>3</v>
      </c>
      <c r="G11" s="504">
        <v>2</v>
      </c>
      <c r="H11" s="504">
        <v>35</v>
      </c>
      <c r="I11" s="504">
        <v>47</v>
      </c>
      <c r="J11" s="504">
        <v>23</v>
      </c>
      <c r="K11" s="504">
        <v>15</v>
      </c>
      <c r="L11" s="504">
        <v>22</v>
      </c>
      <c r="M11" s="504">
        <v>4</v>
      </c>
      <c r="N11" s="504">
        <v>2</v>
      </c>
      <c r="O11" s="504">
        <v>85</v>
      </c>
      <c r="P11" s="504">
        <v>55</v>
      </c>
      <c r="Q11" s="504">
        <v>199</v>
      </c>
      <c r="R11" s="504">
        <v>115</v>
      </c>
      <c r="S11" s="504">
        <v>212</v>
      </c>
      <c r="T11" s="504">
        <v>48</v>
      </c>
      <c r="U11" s="527" t="s">
        <v>653</v>
      </c>
      <c r="V11" s="527" t="s">
        <v>653</v>
      </c>
      <c r="W11" s="504">
        <v>73</v>
      </c>
      <c r="X11" s="504">
        <v>22</v>
      </c>
      <c r="Y11" s="527" t="s">
        <v>653</v>
      </c>
      <c r="Z11" s="505">
        <v>2</v>
      </c>
    </row>
    <row r="12" spans="1:26" s="392" customFormat="1" ht="12" customHeight="1">
      <c r="A12" s="718"/>
      <c r="B12" s="716"/>
      <c r="C12" s="393" t="s">
        <v>578</v>
      </c>
      <c r="D12" s="379">
        <f t="shared" si="0"/>
        <v>296</v>
      </c>
      <c r="E12" s="504">
        <f>SUM(F12:Y12)</f>
        <v>295</v>
      </c>
      <c r="F12" s="504">
        <v>1</v>
      </c>
      <c r="G12" s="504">
        <v>2</v>
      </c>
      <c r="H12" s="504">
        <v>13</v>
      </c>
      <c r="I12" s="504">
        <v>23</v>
      </c>
      <c r="J12" s="504">
        <v>9</v>
      </c>
      <c r="K12" s="504">
        <v>6</v>
      </c>
      <c r="L12" s="504">
        <v>4</v>
      </c>
      <c r="M12" s="528" t="s">
        <v>655</v>
      </c>
      <c r="N12" s="504">
        <v>2</v>
      </c>
      <c r="O12" s="504">
        <v>22</v>
      </c>
      <c r="P12" s="504">
        <v>20</v>
      </c>
      <c r="Q12" s="504">
        <v>77</v>
      </c>
      <c r="R12" s="504">
        <v>42</v>
      </c>
      <c r="S12" s="504">
        <v>49</v>
      </c>
      <c r="T12" s="504">
        <v>14</v>
      </c>
      <c r="U12" s="527" t="s">
        <v>653</v>
      </c>
      <c r="V12" s="527" t="s">
        <v>653</v>
      </c>
      <c r="W12" s="504">
        <v>10</v>
      </c>
      <c r="X12" s="504">
        <v>1</v>
      </c>
      <c r="Y12" s="527" t="s">
        <v>653</v>
      </c>
      <c r="Z12" s="505">
        <v>1</v>
      </c>
    </row>
    <row r="13" spans="1:26" s="394" customFormat="1" ht="12" customHeight="1">
      <c r="A13" s="718"/>
      <c r="B13" s="715" t="s">
        <v>579</v>
      </c>
      <c r="C13" s="393" t="s">
        <v>27</v>
      </c>
      <c r="D13" s="379">
        <f t="shared" si="0"/>
        <v>1452</v>
      </c>
      <c r="E13" s="504">
        <f aca="true" t="shared" si="2" ref="E13:Z13">E14+E15</f>
        <v>1449</v>
      </c>
      <c r="F13" s="504">
        <f t="shared" si="2"/>
        <v>2</v>
      </c>
      <c r="G13" s="504">
        <f>G14</f>
        <v>1</v>
      </c>
      <c r="H13" s="504">
        <f t="shared" si="2"/>
        <v>69</v>
      </c>
      <c r="I13" s="504">
        <f t="shared" si="2"/>
        <v>93</v>
      </c>
      <c r="J13" s="504">
        <f t="shared" si="2"/>
        <v>38</v>
      </c>
      <c r="K13" s="504">
        <f t="shared" si="2"/>
        <v>18</v>
      </c>
      <c r="L13" s="504">
        <f t="shared" si="2"/>
        <v>42</v>
      </c>
      <c r="M13" s="504">
        <f t="shared" si="2"/>
        <v>9</v>
      </c>
      <c r="N13" s="504">
        <f t="shared" si="2"/>
        <v>26</v>
      </c>
      <c r="O13" s="504">
        <f t="shared" si="2"/>
        <v>122</v>
      </c>
      <c r="P13" s="504">
        <f t="shared" si="2"/>
        <v>73</v>
      </c>
      <c r="Q13" s="504">
        <f t="shared" si="2"/>
        <v>300</v>
      </c>
      <c r="R13" s="504">
        <f t="shared" si="2"/>
        <v>154</v>
      </c>
      <c r="S13" s="504">
        <f t="shared" si="2"/>
        <v>289</v>
      </c>
      <c r="T13" s="504">
        <f t="shared" si="2"/>
        <v>68</v>
      </c>
      <c r="U13" s="527" t="s">
        <v>653</v>
      </c>
      <c r="V13" s="527" t="s">
        <v>653</v>
      </c>
      <c r="W13" s="504">
        <f t="shared" si="2"/>
        <v>122</v>
      </c>
      <c r="X13" s="504">
        <f t="shared" si="2"/>
        <v>21</v>
      </c>
      <c r="Y13" s="504">
        <f>Y14</f>
        <v>2</v>
      </c>
      <c r="Z13" s="505">
        <f t="shared" si="2"/>
        <v>3</v>
      </c>
    </row>
    <row r="14" spans="1:26" s="394" customFormat="1" ht="12" customHeight="1">
      <c r="A14" s="718"/>
      <c r="B14" s="716"/>
      <c r="C14" s="393" t="s">
        <v>577</v>
      </c>
      <c r="D14" s="379">
        <f t="shared" si="0"/>
        <v>1052</v>
      </c>
      <c r="E14" s="504">
        <f>SUM(F14:Y14)</f>
        <v>1050</v>
      </c>
      <c r="F14" s="505">
        <v>1</v>
      </c>
      <c r="G14" s="505">
        <v>1</v>
      </c>
      <c r="H14" s="505">
        <v>49</v>
      </c>
      <c r="I14" s="505">
        <v>69</v>
      </c>
      <c r="J14" s="505">
        <v>27</v>
      </c>
      <c r="K14" s="505">
        <v>13</v>
      </c>
      <c r="L14" s="505">
        <v>31</v>
      </c>
      <c r="M14" s="505">
        <v>7</v>
      </c>
      <c r="N14" s="505">
        <v>13</v>
      </c>
      <c r="O14" s="505">
        <v>97</v>
      </c>
      <c r="P14" s="505">
        <v>57</v>
      </c>
      <c r="Q14" s="505">
        <v>211</v>
      </c>
      <c r="R14" s="505">
        <v>109</v>
      </c>
      <c r="S14" s="505">
        <v>212</v>
      </c>
      <c r="T14" s="505">
        <v>47</v>
      </c>
      <c r="U14" s="528" t="s">
        <v>653</v>
      </c>
      <c r="V14" s="528" t="s">
        <v>653</v>
      </c>
      <c r="W14" s="505">
        <v>91</v>
      </c>
      <c r="X14" s="505">
        <v>13</v>
      </c>
      <c r="Y14" s="505">
        <v>2</v>
      </c>
      <c r="Z14" s="505">
        <v>2</v>
      </c>
    </row>
    <row r="15" spans="1:26" s="394" customFormat="1" ht="12" customHeight="1">
      <c r="A15" s="718"/>
      <c r="B15" s="716"/>
      <c r="C15" s="393" t="s">
        <v>580</v>
      </c>
      <c r="D15" s="379">
        <f t="shared" si="0"/>
        <v>400</v>
      </c>
      <c r="E15" s="504">
        <f>SUM(F15:Y15)</f>
        <v>399</v>
      </c>
      <c r="F15" s="505">
        <v>1</v>
      </c>
      <c r="G15" s="528" t="s">
        <v>659</v>
      </c>
      <c r="H15" s="505">
        <v>20</v>
      </c>
      <c r="I15" s="505">
        <v>24</v>
      </c>
      <c r="J15" s="505">
        <v>11</v>
      </c>
      <c r="K15" s="505">
        <v>5</v>
      </c>
      <c r="L15" s="505">
        <v>11</v>
      </c>
      <c r="M15" s="505">
        <v>2</v>
      </c>
      <c r="N15" s="505">
        <v>13</v>
      </c>
      <c r="O15" s="505">
        <v>25</v>
      </c>
      <c r="P15" s="505">
        <v>16</v>
      </c>
      <c r="Q15" s="505">
        <v>89</v>
      </c>
      <c r="R15" s="505">
        <v>45</v>
      </c>
      <c r="S15" s="505">
        <v>77</v>
      </c>
      <c r="T15" s="505">
        <v>21</v>
      </c>
      <c r="U15" s="528" t="s">
        <v>653</v>
      </c>
      <c r="V15" s="528" t="s">
        <v>653</v>
      </c>
      <c r="W15" s="505">
        <v>31</v>
      </c>
      <c r="X15" s="505">
        <v>8</v>
      </c>
      <c r="Y15" s="528" t="s">
        <v>655</v>
      </c>
      <c r="Z15" s="504">
        <v>1</v>
      </c>
    </row>
    <row r="16" spans="1:26" s="394" customFormat="1" ht="12" customHeight="1">
      <c r="A16" s="717" t="s">
        <v>597</v>
      </c>
      <c r="B16" s="715" t="s">
        <v>598</v>
      </c>
      <c r="C16" s="393" t="s">
        <v>27</v>
      </c>
      <c r="D16" s="379">
        <f t="shared" si="0"/>
        <v>1195</v>
      </c>
      <c r="E16" s="504">
        <f aca="true" t="shared" si="3" ref="E16:X16">E17+E18</f>
        <v>1194</v>
      </c>
      <c r="F16" s="527" t="s">
        <v>651</v>
      </c>
      <c r="G16" s="527" t="s">
        <v>653</v>
      </c>
      <c r="H16" s="504">
        <f t="shared" si="3"/>
        <v>34</v>
      </c>
      <c r="I16" s="504">
        <f t="shared" si="3"/>
        <v>80</v>
      </c>
      <c r="J16" s="504">
        <f t="shared" si="3"/>
        <v>20</v>
      </c>
      <c r="K16" s="504">
        <f t="shared" si="3"/>
        <v>12</v>
      </c>
      <c r="L16" s="504">
        <f>L17</f>
        <v>10</v>
      </c>
      <c r="M16" s="504">
        <f t="shared" si="3"/>
        <v>3</v>
      </c>
      <c r="N16" s="504">
        <f>N17</f>
        <v>1</v>
      </c>
      <c r="O16" s="504">
        <f t="shared" si="3"/>
        <v>87</v>
      </c>
      <c r="P16" s="504">
        <f t="shared" si="3"/>
        <v>63</v>
      </c>
      <c r="Q16" s="504">
        <f t="shared" si="3"/>
        <v>219</v>
      </c>
      <c r="R16" s="504">
        <f t="shared" si="3"/>
        <v>158</v>
      </c>
      <c r="S16" s="504">
        <f t="shared" si="3"/>
        <v>284</v>
      </c>
      <c r="T16" s="504">
        <f t="shared" si="3"/>
        <v>69</v>
      </c>
      <c r="U16" s="504">
        <f>U17</f>
        <v>1</v>
      </c>
      <c r="V16" s="527" t="s">
        <v>655</v>
      </c>
      <c r="W16" s="504">
        <f t="shared" si="3"/>
        <v>132</v>
      </c>
      <c r="X16" s="504">
        <f t="shared" si="3"/>
        <v>21</v>
      </c>
      <c r="Y16" s="527" t="s">
        <v>653</v>
      </c>
      <c r="Z16" s="505">
        <f>Z17</f>
        <v>1</v>
      </c>
    </row>
    <row r="17" spans="1:26" s="394" customFormat="1" ht="12" customHeight="1">
      <c r="A17" s="718"/>
      <c r="B17" s="716"/>
      <c r="C17" s="393" t="s">
        <v>577</v>
      </c>
      <c r="D17" s="379">
        <f t="shared" si="0"/>
        <v>981</v>
      </c>
      <c r="E17" s="504">
        <f>SUM(F17:Y17)</f>
        <v>980</v>
      </c>
      <c r="F17" s="528" t="s">
        <v>653</v>
      </c>
      <c r="G17" s="528" t="s">
        <v>653</v>
      </c>
      <c r="H17" s="505">
        <v>27</v>
      </c>
      <c r="I17" s="505">
        <v>63</v>
      </c>
      <c r="J17" s="505">
        <v>14</v>
      </c>
      <c r="K17" s="505">
        <v>10</v>
      </c>
      <c r="L17" s="505">
        <v>10</v>
      </c>
      <c r="M17" s="505">
        <v>1</v>
      </c>
      <c r="N17" s="505">
        <v>1</v>
      </c>
      <c r="O17" s="505">
        <v>69</v>
      </c>
      <c r="P17" s="505">
        <v>48</v>
      </c>
      <c r="Q17" s="505">
        <v>176</v>
      </c>
      <c r="R17" s="505">
        <v>121</v>
      </c>
      <c r="S17" s="505">
        <v>247</v>
      </c>
      <c r="T17" s="505">
        <v>52</v>
      </c>
      <c r="U17" s="505">
        <v>1</v>
      </c>
      <c r="V17" s="528" t="s">
        <v>655</v>
      </c>
      <c r="W17" s="505">
        <v>120</v>
      </c>
      <c r="X17" s="505">
        <v>20</v>
      </c>
      <c r="Y17" s="528" t="s">
        <v>653</v>
      </c>
      <c r="Z17" s="505">
        <v>1</v>
      </c>
    </row>
    <row r="18" spans="1:26" s="394" customFormat="1" ht="12" customHeight="1">
      <c r="A18" s="718"/>
      <c r="B18" s="716"/>
      <c r="C18" s="393" t="s">
        <v>580</v>
      </c>
      <c r="D18" s="379">
        <f>E18</f>
        <v>214</v>
      </c>
      <c r="E18" s="504">
        <f>SUM(F18:Y18)</f>
        <v>214</v>
      </c>
      <c r="F18" s="528" t="s">
        <v>653</v>
      </c>
      <c r="G18" s="528" t="s">
        <v>653</v>
      </c>
      <c r="H18" s="505">
        <v>7</v>
      </c>
      <c r="I18" s="505">
        <v>17</v>
      </c>
      <c r="J18" s="505">
        <v>6</v>
      </c>
      <c r="K18" s="505">
        <v>2</v>
      </c>
      <c r="L18" s="528" t="s">
        <v>660</v>
      </c>
      <c r="M18" s="505">
        <v>2</v>
      </c>
      <c r="N18" s="528" t="s">
        <v>60</v>
      </c>
      <c r="O18" s="505">
        <v>18</v>
      </c>
      <c r="P18" s="505">
        <v>15</v>
      </c>
      <c r="Q18" s="505">
        <v>43</v>
      </c>
      <c r="R18" s="505">
        <v>37</v>
      </c>
      <c r="S18" s="505">
        <v>37</v>
      </c>
      <c r="T18" s="505">
        <v>17</v>
      </c>
      <c r="U18" s="528" t="s">
        <v>660</v>
      </c>
      <c r="V18" s="527" t="s">
        <v>653</v>
      </c>
      <c r="W18" s="505">
        <v>12</v>
      </c>
      <c r="X18" s="505">
        <v>1</v>
      </c>
      <c r="Y18" s="528" t="s">
        <v>653</v>
      </c>
      <c r="Z18" s="527" t="s">
        <v>660</v>
      </c>
    </row>
    <row r="19" spans="1:26" s="394" customFormat="1" ht="12" customHeight="1">
      <c r="A19" s="718"/>
      <c r="B19" s="715" t="s">
        <v>579</v>
      </c>
      <c r="C19" s="393" t="s">
        <v>27</v>
      </c>
      <c r="D19" s="379">
        <f t="shared" si="0"/>
        <v>1142</v>
      </c>
      <c r="E19" s="504">
        <f aca="true" t="shared" si="4" ref="E19:X19">E20+E21</f>
        <v>1137</v>
      </c>
      <c r="F19" s="504">
        <f>F20</f>
        <v>1</v>
      </c>
      <c r="G19" s="527" t="s">
        <v>653</v>
      </c>
      <c r="H19" s="504">
        <f t="shared" si="4"/>
        <v>42</v>
      </c>
      <c r="I19" s="504">
        <f t="shared" si="4"/>
        <v>60</v>
      </c>
      <c r="J19" s="504">
        <f t="shared" si="4"/>
        <v>21</v>
      </c>
      <c r="K19" s="504">
        <f t="shared" si="4"/>
        <v>13</v>
      </c>
      <c r="L19" s="504">
        <f t="shared" si="4"/>
        <v>15</v>
      </c>
      <c r="M19" s="504">
        <f>M20</f>
        <v>3</v>
      </c>
      <c r="N19" s="504">
        <f t="shared" si="4"/>
        <v>21</v>
      </c>
      <c r="O19" s="504">
        <f t="shared" si="4"/>
        <v>83</v>
      </c>
      <c r="P19" s="504">
        <f t="shared" si="4"/>
        <v>60</v>
      </c>
      <c r="Q19" s="504">
        <f t="shared" si="4"/>
        <v>190</v>
      </c>
      <c r="R19" s="504">
        <f t="shared" si="4"/>
        <v>112</v>
      </c>
      <c r="S19" s="504">
        <f t="shared" si="4"/>
        <v>251</v>
      </c>
      <c r="T19" s="504">
        <f t="shared" si="4"/>
        <v>62</v>
      </c>
      <c r="U19" s="527" t="s">
        <v>653</v>
      </c>
      <c r="V19" s="527" t="s">
        <v>653</v>
      </c>
      <c r="W19" s="504">
        <f t="shared" si="4"/>
        <v>165</v>
      </c>
      <c r="X19" s="504">
        <f t="shared" si="4"/>
        <v>35</v>
      </c>
      <c r="Y19" s="504">
        <f>Y20</f>
        <v>3</v>
      </c>
      <c r="Z19" s="505">
        <f>Z20</f>
        <v>5</v>
      </c>
    </row>
    <row r="20" spans="1:26" s="394" customFormat="1" ht="12" customHeight="1">
      <c r="A20" s="718"/>
      <c r="B20" s="716"/>
      <c r="C20" s="393" t="s">
        <v>577</v>
      </c>
      <c r="D20" s="379">
        <f t="shared" si="0"/>
        <v>889</v>
      </c>
      <c r="E20" s="504">
        <f>SUM(F20:Y20)</f>
        <v>884</v>
      </c>
      <c r="F20" s="505">
        <v>1</v>
      </c>
      <c r="G20" s="528" t="s">
        <v>653</v>
      </c>
      <c r="H20" s="505">
        <v>35</v>
      </c>
      <c r="I20" s="505">
        <v>51</v>
      </c>
      <c r="J20" s="505">
        <v>16</v>
      </c>
      <c r="K20" s="505">
        <v>10</v>
      </c>
      <c r="L20" s="505">
        <v>9</v>
      </c>
      <c r="M20" s="505">
        <v>3</v>
      </c>
      <c r="N20" s="505">
        <v>17</v>
      </c>
      <c r="O20" s="505">
        <v>66</v>
      </c>
      <c r="P20" s="505">
        <v>47</v>
      </c>
      <c r="Q20" s="505">
        <v>154</v>
      </c>
      <c r="R20" s="505">
        <v>85</v>
      </c>
      <c r="S20" s="505">
        <v>184</v>
      </c>
      <c r="T20" s="505">
        <v>54</v>
      </c>
      <c r="U20" s="528" t="s">
        <v>653</v>
      </c>
      <c r="V20" s="528" t="s">
        <v>653</v>
      </c>
      <c r="W20" s="505">
        <v>120</v>
      </c>
      <c r="X20" s="505">
        <v>29</v>
      </c>
      <c r="Y20" s="505">
        <v>3</v>
      </c>
      <c r="Z20" s="505">
        <v>5</v>
      </c>
    </row>
    <row r="21" spans="1:26" s="394" customFormat="1" ht="12" customHeight="1">
      <c r="A21" s="718"/>
      <c r="B21" s="716"/>
      <c r="C21" s="393" t="s">
        <v>580</v>
      </c>
      <c r="D21" s="379">
        <f>E21</f>
        <v>253</v>
      </c>
      <c r="E21" s="504">
        <f>SUM(F21:Y21)</f>
        <v>253</v>
      </c>
      <c r="F21" s="528" t="s">
        <v>60</v>
      </c>
      <c r="G21" s="528" t="s">
        <v>653</v>
      </c>
      <c r="H21" s="505">
        <v>7</v>
      </c>
      <c r="I21" s="505">
        <v>9</v>
      </c>
      <c r="J21" s="505">
        <v>5</v>
      </c>
      <c r="K21" s="505">
        <v>3</v>
      </c>
      <c r="L21" s="505">
        <v>6</v>
      </c>
      <c r="M21" s="528" t="s">
        <v>655</v>
      </c>
      <c r="N21" s="505">
        <v>4</v>
      </c>
      <c r="O21" s="505">
        <v>17</v>
      </c>
      <c r="P21" s="505">
        <v>13</v>
      </c>
      <c r="Q21" s="505">
        <v>36</v>
      </c>
      <c r="R21" s="505">
        <v>27</v>
      </c>
      <c r="S21" s="505">
        <v>67</v>
      </c>
      <c r="T21" s="505">
        <v>8</v>
      </c>
      <c r="U21" s="528" t="s">
        <v>653</v>
      </c>
      <c r="V21" s="527" t="s">
        <v>653</v>
      </c>
      <c r="W21" s="505">
        <v>45</v>
      </c>
      <c r="X21" s="505">
        <v>6</v>
      </c>
      <c r="Y21" s="528" t="s">
        <v>655</v>
      </c>
      <c r="Z21" s="527" t="s">
        <v>660</v>
      </c>
    </row>
    <row r="22" spans="1:26" s="392" customFormat="1" ht="12" customHeight="1">
      <c r="A22" s="717" t="s">
        <v>599</v>
      </c>
      <c r="B22" s="715" t="s">
        <v>581</v>
      </c>
      <c r="C22" s="393" t="s">
        <v>27</v>
      </c>
      <c r="D22" s="379">
        <f t="shared" si="0"/>
        <v>2094</v>
      </c>
      <c r="E22" s="504">
        <f aca="true" t="shared" si="5" ref="E22:X22">E23+E24</f>
        <v>2090</v>
      </c>
      <c r="F22" s="504">
        <f>F24</f>
        <v>2</v>
      </c>
      <c r="G22" s="504">
        <f t="shared" si="5"/>
        <v>7</v>
      </c>
      <c r="H22" s="504">
        <f t="shared" si="5"/>
        <v>72</v>
      </c>
      <c r="I22" s="504">
        <f t="shared" si="5"/>
        <v>146</v>
      </c>
      <c r="J22" s="504">
        <f t="shared" si="5"/>
        <v>27</v>
      </c>
      <c r="K22" s="504">
        <f t="shared" si="5"/>
        <v>27</v>
      </c>
      <c r="L22" s="504">
        <f t="shared" si="5"/>
        <v>26</v>
      </c>
      <c r="M22" s="504">
        <f t="shared" si="5"/>
        <v>8</v>
      </c>
      <c r="N22" s="504">
        <f t="shared" si="5"/>
        <v>3</v>
      </c>
      <c r="O22" s="504">
        <f t="shared" si="5"/>
        <v>148</v>
      </c>
      <c r="P22" s="504">
        <f t="shared" si="5"/>
        <v>120</v>
      </c>
      <c r="Q22" s="504">
        <f t="shared" si="5"/>
        <v>366</v>
      </c>
      <c r="R22" s="504">
        <f t="shared" si="5"/>
        <v>296</v>
      </c>
      <c r="S22" s="504">
        <f t="shared" si="5"/>
        <v>490</v>
      </c>
      <c r="T22" s="504">
        <f t="shared" si="5"/>
        <v>120</v>
      </c>
      <c r="U22" s="527" t="s">
        <v>653</v>
      </c>
      <c r="V22" s="527" t="s">
        <v>653</v>
      </c>
      <c r="W22" s="504">
        <f t="shared" si="5"/>
        <v>178</v>
      </c>
      <c r="X22" s="504">
        <f t="shared" si="5"/>
        <v>51</v>
      </c>
      <c r="Y22" s="504">
        <f>Y23</f>
        <v>3</v>
      </c>
      <c r="Z22" s="505">
        <f>Z23</f>
        <v>4</v>
      </c>
    </row>
    <row r="23" spans="1:26" s="392" customFormat="1" ht="12" customHeight="1">
      <c r="A23" s="718"/>
      <c r="B23" s="716"/>
      <c r="C23" s="393" t="s">
        <v>577</v>
      </c>
      <c r="D23" s="379">
        <f t="shared" si="0"/>
        <v>1691</v>
      </c>
      <c r="E23" s="504">
        <f>SUM(F23:Y23)</f>
        <v>1687</v>
      </c>
      <c r="F23" s="527" t="s">
        <v>60</v>
      </c>
      <c r="G23" s="504">
        <v>6</v>
      </c>
      <c r="H23" s="504">
        <v>50</v>
      </c>
      <c r="I23" s="504">
        <v>120</v>
      </c>
      <c r="J23" s="504">
        <v>22</v>
      </c>
      <c r="K23" s="504">
        <v>20</v>
      </c>
      <c r="L23" s="504">
        <v>23</v>
      </c>
      <c r="M23" s="504">
        <v>7</v>
      </c>
      <c r="N23" s="504">
        <v>2</v>
      </c>
      <c r="O23" s="504">
        <v>117</v>
      </c>
      <c r="P23" s="504">
        <v>99</v>
      </c>
      <c r="Q23" s="504">
        <v>289</v>
      </c>
      <c r="R23" s="504">
        <v>220</v>
      </c>
      <c r="S23" s="504">
        <v>416</v>
      </c>
      <c r="T23" s="504">
        <v>94</v>
      </c>
      <c r="U23" s="527" t="s">
        <v>653</v>
      </c>
      <c r="V23" s="527" t="s">
        <v>655</v>
      </c>
      <c r="W23" s="504">
        <v>156</v>
      </c>
      <c r="X23" s="504">
        <v>43</v>
      </c>
      <c r="Y23" s="504">
        <v>3</v>
      </c>
      <c r="Z23" s="505">
        <v>4</v>
      </c>
    </row>
    <row r="24" spans="1:26" s="392" customFormat="1" ht="12" customHeight="1">
      <c r="A24" s="718"/>
      <c r="B24" s="716"/>
      <c r="C24" s="393" t="s">
        <v>580</v>
      </c>
      <c r="D24" s="379">
        <f>E24</f>
        <v>403</v>
      </c>
      <c r="E24" s="504">
        <f>SUM(F24:Y24)</f>
        <v>403</v>
      </c>
      <c r="F24" s="504">
        <v>2</v>
      </c>
      <c r="G24" s="504">
        <v>1</v>
      </c>
      <c r="H24" s="504">
        <v>22</v>
      </c>
      <c r="I24" s="504">
        <v>26</v>
      </c>
      <c r="J24" s="504">
        <v>5</v>
      </c>
      <c r="K24" s="504">
        <v>7</v>
      </c>
      <c r="L24" s="504">
        <v>3</v>
      </c>
      <c r="M24" s="504">
        <v>1</v>
      </c>
      <c r="N24" s="504">
        <v>1</v>
      </c>
      <c r="O24" s="504">
        <v>31</v>
      </c>
      <c r="P24" s="504">
        <v>21</v>
      </c>
      <c r="Q24" s="504">
        <v>77</v>
      </c>
      <c r="R24" s="504">
        <v>76</v>
      </c>
      <c r="S24" s="504">
        <v>74</v>
      </c>
      <c r="T24" s="504">
        <v>26</v>
      </c>
      <c r="U24" s="527" t="s">
        <v>653</v>
      </c>
      <c r="V24" s="527" t="s">
        <v>653</v>
      </c>
      <c r="W24" s="504">
        <v>22</v>
      </c>
      <c r="X24" s="504">
        <v>8</v>
      </c>
      <c r="Y24" s="527" t="s">
        <v>660</v>
      </c>
      <c r="Z24" s="528" t="s">
        <v>660</v>
      </c>
    </row>
    <row r="25" spans="1:26" s="394" customFormat="1" ht="12" customHeight="1">
      <c r="A25" s="718"/>
      <c r="B25" s="715" t="s">
        <v>579</v>
      </c>
      <c r="C25" s="393" t="s">
        <v>27</v>
      </c>
      <c r="D25" s="379">
        <f t="shared" si="0"/>
        <v>2307</v>
      </c>
      <c r="E25" s="504">
        <f aca="true" t="shared" si="6" ref="E25:Z25">E26+E27</f>
        <v>2297</v>
      </c>
      <c r="F25" s="504">
        <f t="shared" si="6"/>
        <v>7</v>
      </c>
      <c r="G25" s="504">
        <f t="shared" si="6"/>
        <v>2</v>
      </c>
      <c r="H25" s="504">
        <f t="shared" si="6"/>
        <v>127</v>
      </c>
      <c r="I25" s="504">
        <f t="shared" si="6"/>
        <v>126</v>
      </c>
      <c r="J25" s="504">
        <f t="shared" si="6"/>
        <v>38</v>
      </c>
      <c r="K25" s="504">
        <f t="shared" si="6"/>
        <v>30</v>
      </c>
      <c r="L25" s="504">
        <f t="shared" si="6"/>
        <v>68</v>
      </c>
      <c r="M25" s="504">
        <f t="shared" si="6"/>
        <v>8</v>
      </c>
      <c r="N25" s="504">
        <f t="shared" si="6"/>
        <v>37</v>
      </c>
      <c r="O25" s="504">
        <f t="shared" si="6"/>
        <v>163</v>
      </c>
      <c r="P25" s="504">
        <f t="shared" si="6"/>
        <v>122</v>
      </c>
      <c r="Q25" s="504">
        <f t="shared" si="6"/>
        <v>359</v>
      </c>
      <c r="R25" s="504">
        <f t="shared" si="6"/>
        <v>221</v>
      </c>
      <c r="S25" s="504">
        <f t="shared" si="6"/>
        <v>512</v>
      </c>
      <c r="T25" s="504">
        <f t="shared" si="6"/>
        <v>108</v>
      </c>
      <c r="U25" s="504">
        <f t="shared" si="6"/>
        <v>3</v>
      </c>
      <c r="V25" s="527" t="s">
        <v>653</v>
      </c>
      <c r="W25" s="504">
        <f t="shared" si="6"/>
        <v>297</v>
      </c>
      <c r="X25" s="504">
        <f t="shared" si="6"/>
        <v>65</v>
      </c>
      <c r="Y25" s="504">
        <f t="shared" si="6"/>
        <v>4</v>
      </c>
      <c r="Z25" s="505">
        <f t="shared" si="6"/>
        <v>10</v>
      </c>
    </row>
    <row r="26" spans="1:26" s="394" customFormat="1" ht="12" customHeight="1">
      <c r="A26" s="718"/>
      <c r="B26" s="716"/>
      <c r="C26" s="393" t="s">
        <v>577</v>
      </c>
      <c r="D26" s="379">
        <f t="shared" si="0"/>
        <v>1647</v>
      </c>
      <c r="E26" s="504">
        <f>SUM(F26:Y26)</f>
        <v>1638</v>
      </c>
      <c r="F26" s="505">
        <v>5</v>
      </c>
      <c r="G26" s="505">
        <v>1</v>
      </c>
      <c r="H26" s="505">
        <v>82</v>
      </c>
      <c r="I26" s="505">
        <v>89</v>
      </c>
      <c r="J26" s="505">
        <v>27</v>
      </c>
      <c r="K26" s="505">
        <v>21</v>
      </c>
      <c r="L26" s="505">
        <v>39</v>
      </c>
      <c r="M26" s="505">
        <v>7</v>
      </c>
      <c r="N26" s="505">
        <v>26</v>
      </c>
      <c r="O26" s="505">
        <v>112</v>
      </c>
      <c r="P26" s="505">
        <v>87</v>
      </c>
      <c r="Q26" s="505">
        <v>261</v>
      </c>
      <c r="R26" s="505">
        <v>161</v>
      </c>
      <c r="S26" s="505">
        <v>369</v>
      </c>
      <c r="T26" s="505">
        <v>72</v>
      </c>
      <c r="U26" s="505">
        <v>2</v>
      </c>
      <c r="V26" s="528" t="s">
        <v>653</v>
      </c>
      <c r="W26" s="505">
        <v>224</v>
      </c>
      <c r="X26" s="505">
        <v>50</v>
      </c>
      <c r="Y26" s="505">
        <v>3</v>
      </c>
      <c r="Z26" s="505">
        <v>9</v>
      </c>
    </row>
    <row r="27" spans="1:26" s="394" customFormat="1" ht="12" customHeight="1">
      <c r="A27" s="718"/>
      <c r="B27" s="716"/>
      <c r="C27" s="393" t="s">
        <v>600</v>
      </c>
      <c r="D27" s="379">
        <f t="shared" si="0"/>
        <v>660</v>
      </c>
      <c r="E27" s="504">
        <f>SUM(F27:Y27)</f>
        <v>659</v>
      </c>
      <c r="F27" s="505">
        <v>2</v>
      </c>
      <c r="G27" s="505">
        <v>1</v>
      </c>
      <c r="H27" s="505">
        <v>45</v>
      </c>
      <c r="I27" s="505">
        <v>37</v>
      </c>
      <c r="J27" s="505">
        <v>11</v>
      </c>
      <c r="K27" s="505">
        <v>9</v>
      </c>
      <c r="L27" s="505">
        <v>29</v>
      </c>
      <c r="M27" s="505">
        <v>1</v>
      </c>
      <c r="N27" s="505">
        <v>11</v>
      </c>
      <c r="O27" s="505">
        <v>51</v>
      </c>
      <c r="P27" s="505">
        <v>35</v>
      </c>
      <c r="Q27" s="505">
        <v>98</v>
      </c>
      <c r="R27" s="505">
        <v>60</v>
      </c>
      <c r="S27" s="505">
        <v>143</v>
      </c>
      <c r="T27" s="505">
        <v>36</v>
      </c>
      <c r="U27" s="505">
        <v>1</v>
      </c>
      <c r="V27" s="527" t="s">
        <v>653</v>
      </c>
      <c r="W27" s="505">
        <v>73</v>
      </c>
      <c r="X27" s="505">
        <v>15</v>
      </c>
      <c r="Y27" s="505">
        <v>1</v>
      </c>
      <c r="Z27" s="504">
        <v>1</v>
      </c>
    </row>
    <row r="28" spans="1:26" s="394" customFormat="1" ht="12" customHeight="1">
      <c r="A28" s="717" t="s">
        <v>601</v>
      </c>
      <c r="B28" s="715" t="s">
        <v>581</v>
      </c>
      <c r="C28" s="393" t="s">
        <v>27</v>
      </c>
      <c r="D28" s="379">
        <f t="shared" si="0"/>
        <v>1106</v>
      </c>
      <c r="E28" s="504">
        <f>SUM(F28:Y28)</f>
        <v>1104</v>
      </c>
      <c r="F28" s="504">
        <f aca="true" t="shared" si="7" ref="F28:X28">F29+F30</f>
        <v>6</v>
      </c>
      <c r="G28" s="504">
        <f t="shared" si="7"/>
        <v>7</v>
      </c>
      <c r="H28" s="504">
        <f t="shared" si="7"/>
        <v>43</v>
      </c>
      <c r="I28" s="504">
        <f t="shared" si="7"/>
        <v>85</v>
      </c>
      <c r="J28" s="504">
        <f t="shared" si="7"/>
        <v>25</v>
      </c>
      <c r="K28" s="504">
        <f t="shared" si="7"/>
        <v>11</v>
      </c>
      <c r="L28" s="504">
        <f t="shared" si="7"/>
        <v>21</v>
      </c>
      <c r="M28" s="504">
        <f t="shared" si="7"/>
        <v>6</v>
      </c>
      <c r="N28" s="504">
        <f t="shared" si="7"/>
        <v>5</v>
      </c>
      <c r="O28" s="504">
        <f t="shared" si="7"/>
        <v>96</v>
      </c>
      <c r="P28" s="504">
        <f t="shared" si="7"/>
        <v>56</v>
      </c>
      <c r="Q28" s="504">
        <f t="shared" si="7"/>
        <v>188</v>
      </c>
      <c r="R28" s="504">
        <f t="shared" si="7"/>
        <v>186</v>
      </c>
      <c r="S28" s="504">
        <f t="shared" si="7"/>
        <v>185</v>
      </c>
      <c r="T28" s="504">
        <f t="shared" si="7"/>
        <v>73</v>
      </c>
      <c r="U28" s="527" t="s">
        <v>655</v>
      </c>
      <c r="V28" s="527" t="s">
        <v>653</v>
      </c>
      <c r="W28" s="504">
        <f t="shared" si="7"/>
        <v>87</v>
      </c>
      <c r="X28" s="504">
        <f t="shared" si="7"/>
        <v>23</v>
      </c>
      <c r="Y28" s="504">
        <f>Y29</f>
        <v>1</v>
      </c>
      <c r="Z28" s="505">
        <f>Z29</f>
        <v>2</v>
      </c>
    </row>
    <row r="29" spans="1:26" s="394" customFormat="1" ht="12" customHeight="1">
      <c r="A29" s="718"/>
      <c r="B29" s="716"/>
      <c r="C29" s="393" t="s">
        <v>577</v>
      </c>
      <c r="D29" s="379">
        <f t="shared" si="0"/>
        <v>626</v>
      </c>
      <c r="E29" s="504">
        <f>SUM(F29:Y29)</f>
        <v>624</v>
      </c>
      <c r="F29" s="504">
        <v>4</v>
      </c>
      <c r="G29" s="504">
        <v>3</v>
      </c>
      <c r="H29" s="504">
        <v>21</v>
      </c>
      <c r="I29" s="504">
        <v>53</v>
      </c>
      <c r="J29" s="504">
        <v>15</v>
      </c>
      <c r="K29" s="504">
        <v>6</v>
      </c>
      <c r="L29" s="504">
        <v>9</v>
      </c>
      <c r="M29" s="504">
        <v>4</v>
      </c>
      <c r="N29" s="504">
        <v>2</v>
      </c>
      <c r="O29" s="504">
        <v>46</v>
      </c>
      <c r="P29" s="504">
        <v>25</v>
      </c>
      <c r="Q29" s="504">
        <v>95</v>
      </c>
      <c r="R29" s="504">
        <v>86</v>
      </c>
      <c r="S29" s="504">
        <v>120</v>
      </c>
      <c r="T29" s="504">
        <v>44</v>
      </c>
      <c r="U29" s="527" t="s">
        <v>653</v>
      </c>
      <c r="V29" s="527" t="s">
        <v>653</v>
      </c>
      <c r="W29" s="504">
        <v>68</v>
      </c>
      <c r="X29" s="504">
        <v>22</v>
      </c>
      <c r="Y29" s="504">
        <v>1</v>
      </c>
      <c r="Z29" s="505">
        <v>2</v>
      </c>
    </row>
    <row r="30" spans="1:26" s="394" customFormat="1" ht="12" customHeight="1">
      <c r="A30" s="718"/>
      <c r="B30" s="716"/>
      <c r="C30" s="393" t="s">
        <v>580</v>
      </c>
      <c r="D30" s="379">
        <f>E30</f>
        <v>480</v>
      </c>
      <c r="E30" s="504">
        <f>SUM(F30:Y30)</f>
        <v>480</v>
      </c>
      <c r="F30" s="504">
        <v>2</v>
      </c>
      <c r="G30" s="504">
        <v>4</v>
      </c>
      <c r="H30" s="504">
        <v>22</v>
      </c>
      <c r="I30" s="504">
        <v>32</v>
      </c>
      <c r="J30" s="504">
        <v>10</v>
      </c>
      <c r="K30" s="504">
        <v>5</v>
      </c>
      <c r="L30" s="504">
        <v>12</v>
      </c>
      <c r="M30" s="504">
        <v>2</v>
      </c>
      <c r="N30" s="504">
        <v>3</v>
      </c>
      <c r="O30" s="504">
        <v>50</v>
      </c>
      <c r="P30" s="504">
        <v>31</v>
      </c>
      <c r="Q30" s="504">
        <v>93</v>
      </c>
      <c r="R30" s="504">
        <v>100</v>
      </c>
      <c r="S30" s="504">
        <v>65</v>
      </c>
      <c r="T30" s="504">
        <v>29</v>
      </c>
      <c r="U30" s="527" t="s">
        <v>653</v>
      </c>
      <c r="V30" s="527" t="s">
        <v>653</v>
      </c>
      <c r="W30" s="504">
        <v>19</v>
      </c>
      <c r="X30" s="504">
        <v>1</v>
      </c>
      <c r="Y30" s="527" t="s">
        <v>660</v>
      </c>
      <c r="Z30" s="527" t="s">
        <v>660</v>
      </c>
    </row>
    <row r="31" spans="1:26" s="394" customFormat="1" ht="12" customHeight="1">
      <c r="A31" s="718"/>
      <c r="B31" s="715" t="s">
        <v>579</v>
      </c>
      <c r="C31" s="393" t="s">
        <v>27</v>
      </c>
      <c r="D31" s="379">
        <f t="shared" si="0"/>
        <v>1397</v>
      </c>
      <c r="E31" s="504">
        <f aca="true" t="shared" si="8" ref="E31:Z31">E32+E33</f>
        <v>1392</v>
      </c>
      <c r="F31" s="504">
        <f>F33</f>
        <v>4</v>
      </c>
      <c r="G31" s="504">
        <f>G32</f>
        <v>1</v>
      </c>
      <c r="H31" s="504">
        <f t="shared" si="8"/>
        <v>71</v>
      </c>
      <c r="I31" s="504">
        <f t="shared" si="8"/>
        <v>89</v>
      </c>
      <c r="J31" s="504">
        <f t="shared" si="8"/>
        <v>23</v>
      </c>
      <c r="K31" s="504">
        <f t="shared" si="8"/>
        <v>17</v>
      </c>
      <c r="L31" s="504">
        <f t="shared" si="8"/>
        <v>35</v>
      </c>
      <c r="M31" s="527" t="s">
        <v>655</v>
      </c>
      <c r="N31" s="504">
        <f t="shared" si="8"/>
        <v>29</v>
      </c>
      <c r="O31" s="504">
        <f t="shared" si="8"/>
        <v>104</v>
      </c>
      <c r="P31" s="504">
        <f t="shared" si="8"/>
        <v>51</v>
      </c>
      <c r="Q31" s="504">
        <f t="shared" si="8"/>
        <v>221</v>
      </c>
      <c r="R31" s="504">
        <f t="shared" si="8"/>
        <v>145</v>
      </c>
      <c r="S31" s="504">
        <f t="shared" si="8"/>
        <v>267</v>
      </c>
      <c r="T31" s="504">
        <f t="shared" si="8"/>
        <v>62</v>
      </c>
      <c r="U31" s="504">
        <f>U33</f>
        <v>1</v>
      </c>
      <c r="V31" s="527" t="s">
        <v>653</v>
      </c>
      <c r="W31" s="504">
        <f t="shared" si="8"/>
        <v>231</v>
      </c>
      <c r="X31" s="504">
        <f t="shared" si="8"/>
        <v>39</v>
      </c>
      <c r="Y31" s="504">
        <f>Y33</f>
        <v>2</v>
      </c>
      <c r="Z31" s="505">
        <f t="shared" si="8"/>
        <v>5</v>
      </c>
    </row>
    <row r="32" spans="1:26" s="394" customFormat="1" ht="12" customHeight="1">
      <c r="A32" s="718"/>
      <c r="B32" s="716"/>
      <c r="C32" s="393" t="s">
        <v>577</v>
      </c>
      <c r="D32" s="379">
        <f t="shared" si="0"/>
        <v>627</v>
      </c>
      <c r="E32" s="504">
        <f>SUM(F32:Y32)</f>
        <v>623</v>
      </c>
      <c r="F32" s="528" t="s">
        <v>60</v>
      </c>
      <c r="G32" s="505">
        <v>1</v>
      </c>
      <c r="H32" s="505">
        <v>29</v>
      </c>
      <c r="I32" s="505">
        <v>33</v>
      </c>
      <c r="J32" s="505">
        <v>14</v>
      </c>
      <c r="K32" s="505">
        <v>8</v>
      </c>
      <c r="L32" s="505">
        <v>18</v>
      </c>
      <c r="M32" s="528" t="s">
        <v>653</v>
      </c>
      <c r="N32" s="505">
        <v>9</v>
      </c>
      <c r="O32" s="505">
        <v>44</v>
      </c>
      <c r="P32" s="505">
        <v>25</v>
      </c>
      <c r="Q32" s="505">
        <v>109</v>
      </c>
      <c r="R32" s="505">
        <v>59</v>
      </c>
      <c r="S32" s="505">
        <v>117</v>
      </c>
      <c r="T32" s="505">
        <v>31</v>
      </c>
      <c r="U32" s="528" t="s">
        <v>655</v>
      </c>
      <c r="V32" s="528" t="s">
        <v>653</v>
      </c>
      <c r="W32" s="505">
        <v>102</v>
      </c>
      <c r="X32" s="505">
        <v>24</v>
      </c>
      <c r="Y32" s="528" t="s">
        <v>660</v>
      </c>
      <c r="Z32" s="505">
        <v>4</v>
      </c>
    </row>
    <row r="33" spans="1:26" s="394" customFormat="1" ht="12" customHeight="1">
      <c r="A33" s="718"/>
      <c r="B33" s="716"/>
      <c r="C33" s="393" t="s">
        <v>580</v>
      </c>
      <c r="D33" s="379">
        <f t="shared" si="0"/>
        <v>770</v>
      </c>
      <c r="E33" s="504">
        <f>SUM(F33:Y33)</f>
        <v>769</v>
      </c>
      <c r="F33" s="505">
        <v>4</v>
      </c>
      <c r="G33" s="528" t="s">
        <v>60</v>
      </c>
      <c r="H33" s="505">
        <v>42</v>
      </c>
      <c r="I33" s="505">
        <v>56</v>
      </c>
      <c r="J33" s="505">
        <v>9</v>
      </c>
      <c r="K33" s="505">
        <v>9</v>
      </c>
      <c r="L33" s="505">
        <v>17</v>
      </c>
      <c r="M33" s="528" t="s">
        <v>653</v>
      </c>
      <c r="N33" s="505">
        <v>20</v>
      </c>
      <c r="O33" s="505">
        <v>60</v>
      </c>
      <c r="P33" s="505">
        <v>26</v>
      </c>
      <c r="Q33" s="505">
        <v>112</v>
      </c>
      <c r="R33" s="505">
        <v>86</v>
      </c>
      <c r="S33" s="505">
        <v>150</v>
      </c>
      <c r="T33" s="505">
        <v>31</v>
      </c>
      <c r="U33" s="505">
        <v>1</v>
      </c>
      <c r="V33" s="527" t="s">
        <v>653</v>
      </c>
      <c r="W33" s="505">
        <v>129</v>
      </c>
      <c r="X33" s="505">
        <v>15</v>
      </c>
      <c r="Y33" s="505">
        <v>2</v>
      </c>
      <c r="Z33" s="504">
        <v>1</v>
      </c>
    </row>
    <row r="34" spans="1:26" s="394" customFormat="1" ht="12" customHeight="1">
      <c r="A34" s="717" t="s">
        <v>602</v>
      </c>
      <c r="B34" s="715" t="s">
        <v>598</v>
      </c>
      <c r="C34" s="393" t="s">
        <v>27</v>
      </c>
      <c r="D34" s="379">
        <f t="shared" si="0"/>
        <v>198</v>
      </c>
      <c r="E34" s="504">
        <f>SUM(F34:Y34)</f>
        <v>197</v>
      </c>
      <c r="F34" s="527" t="s">
        <v>60</v>
      </c>
      <c r="G34" s="527" t="s">
        <v>653</v>
      </c>
      <c r="H34" s="504">
        <f>H35+H36</f>
        <v>5</v>
      </c>
      <c r="I34" s="504">
        <f>I35</f>
        <v>4</v>
      </c>
      <c r="J34" s="504">
        <f>J35+J36</f>
        <v>7</v>
      </c>
      <c r="K34" s="504">
        <f>K35</f>
        <v>2</v>
      </c>
      <c r="L34" s="504">
        <f>L36</f>
        <v>1</v>
      </c>
      <c r="M34" s="504">
        <f>M35</f>
        <v>1</v>
      </c>
      <c r="N34" s="527" t="s">
        <v>660</v>
      </c>
      <c r="O34" s="504">
        <f aca="true" t="shared" si="9" ref="O34:T34">O35+O36</f>
        <v>8</v>
      </c>
      <c r="P34" s="504">
        <f t="shared" si="9"/>
        <v>10</v>
      </c>
      <c r="Q34" s="504">
        <f t="shared" si="9"/>
        <v>38</v>
      </c>
      <c r="R34" s="504">
        <f t="shared" si="9"/>
        <v>35</v>
      </c>
      <c r="S34" s="504">
        <f t="shared" si="9"/>
        <v>54</v>
      </c>
      <c r="T34" s="504">
        <f t="shared" si="9"/>
        <v>11</v>
      </c>
      <c r="U34" s="527" t="s">
        <v>660</v>
      </c>
      <c r="V34" s="527" t="s">
        <v>653</v>
      </c>
      <c r="W34" s="504">
        <f>W35+W36</f>
        <v>18</v>
      </c>
      <c r="X34" s="504">
        <f>X35</f>
        <v>3</v>
      </c>
      <c r="Y34" s="527" t="s">
        <v>660</v>
      </c>
      <c r="Z34" s="505">
        <f>Z36</f>
        <v>1</v>
      </c>
    </row>
    <row r="35" spans="1:26" s="394" customFormat="1" ht="12" customHeight="1">
      <c r="A35" s="718"/>
      <c r="B35" s="716"/>
      <c r="C35" s="393" t="s">
        <v>577</v>
      </c>
      <c r="D35" s="379">
        <f>E35</f>
        <v>150</v>
      </c>
      <c r="E35" s="504">
        <f>SUM(F35:Y35)</f>
        <v>150</v>
      </c>
      <c r="F35" s="527" t="s">
        <v>653</v>
      </c>
      <c r="G35" s="527" t="s">
        <v>653</v>
      </c>
      <c r="H35" s="504">
        <v>4</v>
      </c>
      <c r="I35" s="504">
        <v>4</v>
      </c>
      <c r="J35" s="504">
        <v>5</v>
      </c>
      <c r="K35" s="504">
        <v>2</v>
      </c>
      <c r="L35" s="527" t="s">
        <v>660</v>
      </c>
      <c r="M35" s="504">
        <v>1</v>
      </c>
      <c r="N35" s="527" t="s">
        <v>653</v>
      </c>
      <c r="O35" s="504">
        <v>7</v>
      </c>
      <c r="P35" s="504">
        <v>4</v>
      </c>
      <c r="Q35" s="504">
        <v>29</v>
      </c>
      <c r="R35" s="504">
        <v>25</v>
      </c>
      <c r="S35" s="504">
        <v>46</v>
      </c>
      <c r="T35" s="504">
        <v>5</v>
      </c>
      <c r="U35" s="527" t="s">
        <v>653</v>
      </c>
      <c r="V35" s="527" t="s">
        <v>653</v>
      </c>
      <c r="W35" s="504">
        <v>15</v>
      </c>
      <c r="X35" s="504">
        <v>3</v>
      </c>
      <c r="Y35" s="527" t="s">
        <v>653</v>
      </c>
      <c r="Z35" s="528" t="s">
        <v>655</v>
      </c>
    </row>
    <row r="36" spans="1:26" s="394" customFormat="1" ht="12" customHeight="1">
      <c r="A36" s="718"/>
      <c r="B36" s="716"/>
      <c r="C36" s="393" t="s">
        <v>580</v>
      </c>
      <c r="D36" s="379">
        <f t="shared" si="0"/>
        <v>48</v>
      </c>
      <c r="E36" s="504">
        <f>SUM(F36:Y36)</f>
        <v>47</v>
      </c>
      <c r="F36" s="527" t="s">
        <v>653</v>
      </c>
      <c r="G36" s="527" t="s">
        <v>653</v>
      </c>
      <c r="H36" s="504">
        <v>1</v>
      </c>
      <c r="I36" s="527" t="s">
        <v>660</v>
      </c>
      <c r="J36" s="504">
        <v>2</v>
      </c>
      <c r="K36" s="527" t="s">
        <v>660</v>
      </c>
      <c r="L36" s="504">
        <v>1</v>
      </c>
      <c r="M36" s="527" t="s">
        <v>660</v>
      </c>
      <c r="N36" s="527" t="s">
        <v>653</v>
      </c>
      <c r="O36" s="504">
        <v>1</v>
      </c>
      <c r="P36" s="504">
        <v>6</v>
      </c>
      <c r="Q36" s="504">
        <v>9</v>
      </c>
      <c r="R36" s="504">
        <v>10</v>
      </c>
      <c r="S36" s="504">
        <v>8</v>
      </c>
      <c r="T36" s="504">
        <v>6</v>
      </c>
      <c r="U36" s="527" t="s">
        <v>653</v>
      </c>
      <c r="V36" s="527" t="s">
        <v>653</v>
      </c>
      <c r="W36" s="504">
        <v>3</v>
      </c>
      <c r="X36" s="527" t="s">
        <v>655</v>
      </c>
      <c r="Y36" s="527" t="s">
        <v>653</v>
      </c>
      <c r="Z36" s="504">
        <v>1</v>
      </c>
    </row>
    <row r="37" spans="1:26" s="394" customFormat="1" ht="12" customHeight="1">
      <c r="A37" s="718"/>
      <c r="B37" s="715" t="s">
        <v>579</v>
      </c>
      <c r="C37" s="393" t="s">
        <v>27</v>
      </c>
      <c r="D37" s="379">
        <f>E37</f>
        <v>229</v>
      </c>
      <c r="E37" s="504">
        <f aca="true" t="shared" si="10" ref="E37:X37">E38+E39</f>
        <v>229</v>
      </c>
      <c r="F37" s="504">
        <f>F39</f>
        <v>2</v>
      </c>
      <c r="G37" s="527" t="s">
        <v>653</v>
      </c>
      <c r="H37" s="504">
        <f t="shared" si="10"/>
        <v>9</v>
      </c>
      <c r="I37" s="504">
        <f t="shared" si="10"/>
        <v>13</v>
      </c>
      <c r="J37" s="504">
        <f>J38</f>
        <v>3</v>
      </c>
      <c r="K37" s="504">
        <f t="shared" si="10"/>
        <v>2</v>
      </c>
      <c r="L37" s="504">
        <f>L38</f>
        <v>4</v>
      </c>
      <c r="M37" s="527" t="s">
        <v>653</v>
      </c>
      <c r="N37" s="504">
        <f t="shared" si="10"/>
        <v>5</v>
      </c>
      <c r="O37" s="504">
        <f t="shared" si="10"/>
        <v>13</v>
      </c>
      <c r="P37" s="504">
        <f t="shared" si="10"/>
        <v>10</v>
      </c>
      <c r="Q37" s="504">
        <f t="shared" si="10"/>
        <v>43</v>
      </c>
      <c r="R37" s="504">
        <f t="shared" si="10"/>
        <v>28</v>
      </c>
      <c r="S37" s="504">
        <f t="shared" si="10"/>
        <v>41</v>
      </c>
      <c r="T37" s="504">
        <f t="shared" si="10"/>
        <v>10</v>
      </c>
      <c r="U37" s="527" t="s">
        <v>653</v>
      </c>
      <c r="V37" s="527" t="s">
        <v>653</v>
      </c>
      <c r="W37" s="504">
        <f t="shared" si="10"/>
        <v>38</v>
      </c>
      <c r="X37" s="504">
        <f t="shared" si="10"/>
        <v>7</v>
      </c>
      <c r="Y37" s="504">
        <f>Y38</f>
        <v>1</v>
      </c>
      <c r="Z37" s="528" t="s">
        <v>660</v>
      </c>
    </row>
    <row r="38" spans="1:26" s="394" customFormat="1" ht="12" customHeight="1">
      <c r="A38" s="718"/>
      <c r="B38" s="716"/>
      <c r="C38" s="393" t="s">
        <v>577</v>
      </c>
      <c r="D38" s="379">
        <f>E38</f>
        <v>151</v>
      </c>
      <c r="E38" s="504">
        <f>SUM(F38:Y38)</f>
        <v>151</v>
      </c>
      <c r="F38" s="528" t="s">
        <v>60</v>
      </c>
      <c r="G38" s="528" t="s">
        <v>653</v>
      </c>
      <c r="H38" s="505">
        <v>8</v>
      </c>
      <c r="I38" s="505">
        <v>8</v>
      </c>
      <c r="J38" s="505">
        <v>3</v>
      </c>
      <c r="K38" s="505">
        <v>1</v>
      </c>
      <c r="L38" s="505">
        <v>4</v>
      </c>
      <c r="M38" s="528" t="s">
        <v>653</v>
      </c>
      <c r="N38" s="505">
        <v>3</v>
      </c>
      <c r="O38" s="505">
        <v>10</v>
      </c>
      <c r="P38" s="505">
        <v>7</v>
      </c>
      <c r="Q38" s="505">
        <v>27</v>
      </c>
      <c r="R38" s="505">
        <v>18</v>
      </c>
      <c r="S38" s="505">
        <v>26</v>
      </c>
      <c r="T38" s="505">
        <v>4</v>
      </c>
      <c r="U38" s="528" t="s">
        <v>653</v>
      </c>
      <c r="V38" s="528" t="s">
        <v>653</v>
      </c>
      <c r="W38" s="505">
        <v>26</v>
      </c>
      <c r="X38" s="505">
        <v>5</v>
      </c>
      <c r="Y38" s="505">
        <v>1</v>
      </c>
      <c r="Z38" s="528" t="s">
        <v>653</v>
      </c>
    </row>
    <row r="39" spans="1:26" s="394" customFormat="1" ht="12" customHeight="1">
      <c r="A39" s="718"/>
      <c r="B39" s="716"/>
      <c r="C39" s="393" t="s">
        <v>580</v>
      </c>
      <c r="D39" s="379">
        <f>E39</f>
        <v>78</v>
      </c>
      <c r="E39" s="504">
        <f>SUM(F39:Y39)</f>
        <v>78</v>
      </c>
      <c r="F39" s="505">
        <v>2</v>
      </c>
      <c r="G39" s="528" t="s">
        <v>653</v>
      </c>
      <c r="H39" s="505">
        <v>1</v>
      </c>
      <c r="I39" s="505">
        <v>5</v>
      </c>
      <c r="J39" s="528" t="s">
        <v>660</v>
      </c>
      <c r="K39" s="505">
        <v>1</v>
      </c>
      <c r="L39" s="528" t="s">
        <v>660</v>
      </c>
      <c r="M39" s="528" t="s">
        <v>653</v>
      </c>
      <c r="N39" s="505">
        <v>2</v>
      </c>
      <c r="O39" s="505">
        <v>3</v>
      </c>
      <c r="P39" s="505">
        <v>3</v>
      </c>
      <c r="Q39" s="505">
        <v>16</v>
      </c>
      <c r="R39" s="505">
        <v>10</v>
      </c>
      <c r="S39" s="505">
        <v>15</v>
      </c>
      <c r="T39" s="505">
        <v>6</v>
      </c>
      <c r="U39" s="528" t="s">
        <v>653</v>
      </c>
      <c r="V39" s="527" t="s">
        <v>653</v>
      </c>
      <c r="W39" s="505">
        <v>12</v>
      </c>
      <c r="X39" s="505">
        <v>2</v>
      </c>
      <c r="Y39" s="528" t="s">
        <v>660</v>
      </c>
      <c r="Z39" s="527" t="s">
        <v>653</v>
      </c>
    </row>
    <row r="40" spans="1:26" s="394" customFormat="1" ht="12" customHeight="1">
      <c r="A40" s="717" t="s">
        <v>603</v>
      </c>
      <c r="B40" s="715" t="s">
        <v>576</v>
      </c>
      <c r="C40" s="393" t="s">
        <v>27</v>
      </c>
      <c r="D40" s="379">
        <f t="shared" si="0"/>
        <v>403</v>
      </c>
      <c r="E40" s="504">
        <f>E41+E42</f>
        <v>402</v>
      </c>
      <c r="F40" s="504">
        <f>F42</f>
        <v>1</v>
      </c>
      <c r="G40" s="527" t="s">
        <v>653</v>
      </c>
      <c r="H40" s="504">
        <f aca="true" t="shared" si="11" ref="H40:W40">H41+H42</f>
        <v>6</v>
      </c>
      <c r="I40" s="504">
        <f t="shared" si="11"/>
        <v>29</v>
      </c>
      <c r="J40" s="504">
        <f t="shared" si="11"/>
        <v>4</v>
      </c>
      <c r="K40" s="504">
        <f>K42</f>
        <v>1</v>
      </c>
      <c r="L40" s="504">
        <f t="shared" si="11"/>
        <v>4</v>
      </c>
      <c r="M40" s="504">
        <f t="shared" si="11"/>
        <v>2</v>
      </c>
      <c r="N40" s="504">
        <f>N42</f>
        <v>1</v>
      </c>
      <c r="O40" s="504">
        <f t="shared" si="11"/>
        <v>38</v>
      </c>
      <c r="P40" s="504">
        <f t="shared" si="11"/>
        <v>22</v>
      </c>
      <c r="Q40" s="504">
        <f t="shared" si="11"/>
        <v>73</v>
      </c>
      <c r="R40" s="504">
        <f t="shared" si="11"/>
        <v>64</v>
      </c>
      <c r="S40" s="504">
        <f t="shared" si="11"/>
        <v>95</v>
      </c>
      <c r="T40" s="504">
        <f t="shared" si="11"/>
        <v>37</v>
      </c>
      <c r="U40" s="527" t="s">
        <v>653</v>
      </c>
      <c r="V40" s="527" t="s">
        <v>653</v>
      </c>
      <c r="W40" s="504">
        <f t="shared" si="11"/>
        <v>22</v>
      </c>
      <c r="X40" s="504">
        <f>X41</f>
        <v>3</v>
      </c>
      <c r="Y40" s="527" t="s">
        <v>653</v>
      </c>
      <c r="Z40" s="505">
        <f>Z42</f>
        <v>1</v>
      </c>
    </row>
    <row r="41" spans="1:26" s="394" customFormat="1" ht="12" customHeight="1">
      <c r="A41" s="718"/>
      <c r="B41" s="716"/>
      <c r="C41" s="393" t="s">
        <v>577</v>
      </c>
      <c r="D41" s="379">
        <f>E41</f>
        <v>219</v>
      </c>
      <c r="E41" s="504">
        <f>SUM(F41:Y41)</f>
        <v>219</v>
      </c>
      <c r="F41" s="527" t="s">
        <v>60</v>
      </c>
      <c r="G41" s="527" t="s">
        <v>653</v>
      </c>
      <c r="H41" s="504">
        <v>3</v>
      </c>
      <c r="I41" s="504">
        <v>12</v>
      </c>
      <c r="J41" s="504">
        <v>2</v>
      </c>
      <c r="K41" s="527" t="s">
        <v>660</v>
      </c>
      <c r="L41" s="504">
        <v>3</v>
      </c>
      <c r="M41" s="504">
        <v>1</v>
      </c>
      <c r="N41" s="527" t="s">
        <v>655</v>
      </c>
      <c r="O41" s="504">
        <v>21</v>
      </c>
      <c r="P41" s="504">
        <v>10</v>
      </c>
      <c r="Q41" s="504">
        <v>32</v>
      </c>
      <c r="R41" s="504">
        <v>35</v>
      </c>
      <c r="S41" s="504">
        <v>62</v>
      </c>
      <c r="T41" s="504">
        <v>18</v>
      </c>
      <c r="U41" s="527" t="s">
        <v>653</v>
      </c>
      <c r="V41" s="527" t="s">
        <v>653</v>
      </c>
      <c r="W41" s="504">
        <v>17</v>
      </c>
      <c r="X41" s="504">
        <v>3</v>
      </c>
      <c r="Y41" s="527" t="s">
        <v>653</v>
      </c>
      <c r="Z41" s="527" t="s">
        <v>660</v>
      </c>
    </row>
    <row r="42" spans="1:26" s="394" customFormat="1" ht="12" customHeight="1">
      <c r="A42" s="718"/>
      <c r="B42" s="716"/>
      <c r="C42" s="393" t="s">
        <v>580</v>
      </c>
      <c r="D42" s="379">
        <f t="shared" si="0"/>
        <v>184</v>
      </c>
      <c r="E42" s="504">
        <f>SUM(F42:Y42)</f>
        <v>183</v>
      </c>
      <c r="F42" s="504">
        <v>1</v>
      </c>
      <c r="G42" s="527" t="s">
        <v>653</v>
      </c>
      <c r="H42" s="504">
        <v>3</v>
      </c>
      <c r="I42" s="504">
        <v>17</v>
      </c>
      <c r="J42" s="504">
        <v>2</v>
      </c>
      <c r="K42" s="504">
        <v>1</v>
      </c>
      <c r="L42" s="504">
        <v>1</v>
      </c>
      <c r="M42" s="504">
        <v>1</v>
      </c>
      <c r="N42" s="504">
        <v>1</v>
      </c>
      <c r="O42" s="504">
        <v>17</v>
      </c>
      <c r="P42" s="504">
        <v>12</v>
      </c>
      <c r="Q42" s="504">
        <v>41</v>
      </c>
      <c r="R42" s="504">
        <v>29</v>
      </c>
      <c r="S42" s="504">
        <v>33</v>
      </c>
      <c r="T42" s="504">
        <v>19</v>
      </c>
      <c r="U42" s="527" t="s">
        <v>653</v>
      </c>
      <c r="V42" s="527" t="s">
        <v>653</v>
      </c>
      <c r="W42" s="504">
        <v>5</v>
      </c>
      <c r="X42" s="527" t="s">
        <v>655</v>
      </c>
      <c r="Y42" s="527" t="s">
        <v>653</v>
      </c>
      <c r="Z42" s="504">
        <v>1</v>
      </c>
    </row>
    <row r="43" spans="1:26" s="394" customFormat="1" ht="12" customHeight="1">
      <c r="A43" s="718"/>
      <c r="B43" s="715" t="s">
        <v>579</v>
      </c>
      <c r="C43" s="393" t="s">
        <v>27</v>
      </c>
      <c r="D43" s="379">
        <f t="shared" si="0"/>
        <v>427</v>
      </c>
      <c r="E43" s="504">
        <f aca="true" t="shared" si="12" ref="E43:X43">E44+E45</f>
        <v>426</v>
      </c>
      <c r="F43" s="527" t="s">
        <v>60</v>
      </c>
      <c r="G43" s="504">
        <f>G45</f>
        <v>1</v>
      </c>
      <c r="H43" s="504">
        <f t="shared" si="12"/>
        <v>20</v>
      </c>
      <c r="I43" s="504">
        <f t="shared" si="12"/>
        <v>23</v>
      </c>
      <c r="J43" s="504">
        <f t="shared" si="12"/>
        <v>8</v>
      </c>
      <c r="K43" s="504">
        <f>K44</f>
        <v>4</v>
      </c>
      <c r="L43" s="504">
        <f t="shared" si="12"/>
        <v>7</v>
      </c>
      <c r="M43" s="504">
        <f t="shared" si="12"/>
        <v>2</v>
      </c>
      <c r="N43" s="504">
        <f t="shared" si="12"/>
        <v>19</v>
      </c>
      <c r="O43" s="504">
        <f t="shared" si="12"/>
        <v>16</v>
      </c>
      <c r="P43" s="504">
        <f t="shared" si="12"/>
        <v>17</v>
      </c>
      <c r="Q43" s="504">
        <f t="shared" si="12"/>
        <v>68</v>
      </c>
      <c r="R43" s="504">
        <f t="shared" si="12"/>
        <v>53</v>
      </c>
      <c r="S43" s="504">
        <f t="shared" si="12"/>
        <v>97</v>
      </c>
      <c r="T43" s="504">
        <f t="shared" si="12"/>
        <v>18</v>
      </c>
      <c r="U43" s="527" t="s">
        <v>653</v>
      </c>
      <c r="V43" s="527" t="s">
        <v>653</v>
      </c>
      <c r="W43" s="504">
        <f t="shared" si="12"/>
        <v>55</v>
      </c>
      <c r="X43" s="504">
        <f t="shared" si="12"/>
        <v>17</v>
      </c>
      <c r="Y43" s="504">
        <f>Y44</f>
        <v>1</v>
      </c>
      <c r="Z43" s="505">
        <f>Z44</f>
        <v>1</v>
      </c>
    </row>
    <row r="44" spans="1:26" s="394" customFormat="1" ht="12" customHeight="1">
      <c r="A44" s="718"/>
      <c r="B44" s="716"/>
      <c r="C44" s="393" t="s">
        <v>577</v>
      </c>
      <c r="D44" s="379">
        <f t="shared" si="0"/>
        <v>211</v>
      </c>
      <c r="E44" s="504">
        <f>SUM(F44:Y44)</f>
        <v>210</v>
      </c>
      <c r="F44" s="528" t="s">
        <v>653</v>
      </c>
      <c r="G44" s="528" t="s">
        <v>60</v>
      </c>
      <c r="H44" s="505">
        <v>8</v>
      </c>
      <c r="I44" s="505">
        <v>16</v>
      </c>
      <c r="J44" s="505">
        <v>3</v>
      </c>
      <c r="K44" s="505">
        <v>4</v>
      </c>
      <c r="L44" s="505">
        <v>5</v>
      </c>
      <c r="M44" s="505">
        <v>1</v>
      </c>
      <c r="N44" s="505">
        <v>5</v>
      </c>
      <c r="O44" s="505">
        <v>6</v>
      </c>
      <c r="P44" s="505">
        <v>12</v>
      </c>
      <c r="Q44" s="505">
        <v>33</v>
      </c>
      <c r="R44" s="505">
        <v>27</v>
      </c>
      <c r="S44" s="505">
        <v>51</v>
      </c>
      <c r="T44" s="505">
        <v>6</v>
      </c>
      <c r="U44" s="528" t="s">
        <v>653</v>
      </c>
      <c r="V44" s="528" t="s">
        <v>653</v>
      </c>
      <c r="W44" s="505">
        <v>26</v>
      </c>
      <c r="X44" s="505">
        <v>6</v>
      </c>
      <c r="Y44" s="505">
        <v>1</v>
      </c>
      <c r="Z44" s="505">
        <v>1</v>
      </c>
    </row>
    <row r="45" spans="1:26" s="394" customFormat="1" ht="12" customHeight="1">
      <c r="A45" s="718"/>
      <c r="B45" s="716"/>
      <c r="C45" s="393" t="s">
        <v>580</v>
      </c>
      <c r="D45" s="379">
        <f>E45</f>
        <v>216</v>
      </c>
      <c r="E45" s="504">
        <f>SUM(F45:Y45)</f>
        <v>216</v>
      </c>
      <c r="F45" s="528" t="s">
        <v>653</v>
      </c>
      <c r="G45" s="505">
        <v>1</v>
      </c>
      <c r="H45" s="505">
        <v>12</v>
      </c>
      <c r="I45" s="505">
        <v>7</v>
      </c>
      <c r="J45" s="505">
        <v>5</v>
      </c>
      <c r="K45" s="528" t="s">
        <v>660</v>
      </c>
      <c r="L45" s="505">
        <v>2</v>
      </c>
      <c r="M45" s="505">
        <v>1</v>
      </c>
      <c r="N45" s="505">
        <v>14</v>
      </c>
      <c r="O45" s="505">
        <v>10</v>
      </c>
      <c r="P45" s="505">
        <v>5</v>
      </c>
      <c r="Q45" s="505">
        <v>35</v>
      </c>
      <c r="R45" s="505">
        <v>26</v>
      </c>
      <c r="S45" s="505">
        <v>46</v>
      </c>
      <c r="T45" s="505">
        <v>12</v>
      </c>
      <c r="U45" s="528" t="s">
        <v>653</v>
      </c>
      <c r="V45" s="527" t="s">
        <v>653</v>
      </c>
      <c r="W45" s="505">
        <v>29</v>
      </c>
      <c r="X45" s="505">
        <v>11</v>
      </c>
      <c r="Y45" s="528" t="s">
        <v>655</v>
      </c>
      <c r="Z45" s="527" t="s">
        <v>660</v>
      </c>
    </row>
    <row r="46" spans="1:26" s="394" customFormat="1" ht="12" customHeight="1">
      <c r="A46" s="717" t="s">
        <v>604</v>
      </c>
      <c r="B46" s="715" t="s">
        <v>581</v>
      </c>
      <c r="C46" s="393" t="s">
        <v>27</v>
      </c>
      <c r="D46" s="379">
        <f t="shared" si="0"/>
        <v>3402</v>
      </c>
      <c r="E46" s="504">
        <f>E47+E48</f>
        <v>3398</v>
      </c>
      <c r="F46" s="504">
        <f>F48</f>
        <v>11</v>
      </c>
      <c r="G46" s="504">
        <f>G48</f>
        <v>9</v>
      </c>
      <c r="H46" s="504">
        <f>H48</f>
        <v>125</v>
      </c>
      <c r="I46" s="504">
        <f>I48</f>
        <v>109</v>
      </c>
      <c r="J46" s="504">
        <f>J48</f>
        <v>62</v>
      </c>
      <c r="K46" s="504">
        <f>K47+K48</f>
        <v>41</v>
      </c>
      <c r="L46" s="504">
        <f>L48</f>
        <v>71</v>
      </c>
      <c r="M46" s="504">
        <f>M48</f>
        <v>19</v>
      </c>
      <c r="N46" s="504">
        <f aca="true" t="shared" si="13" ref="N46:T46">N47+N48</f>
        <v>7</v>
      </c>
      <c r="O46" s="504">
        <f t="shared" si="13"/>
        <v>252</v>
      </c>
      <c r="P46" s="504">
        <f t="shared" si="13"/>
        <v>148</v>
      </c>
      <c r="Q46" s="504">
        <f t="shared" si="13"/>
        <v>551</v>
      </c>
      <c r="R46" s="504">
        <f t="shared" si="13"/>
        <v>333</v>
      </c>
      <c r="S46" s="504">
        <f t="shared" si="13"/>
        <v>828</v>
      </c>
      <c r="T46" s="504">
        <f t="shared" si="13"/>
        <v>247</v>
      </c>
      <c r="U46" s="527" t="s">
        <v>653</v>
      </c>
      <c r="V46" s="504">
        <f>V48</f>
        <v>1</v>
      </c>
      <c r="W46" s="504">
        <f>W47+W48</f>
        <v>495</v>
      </c>
      <c r="X46" s="504">
        <f>X48</f>
        <v>88</v>
      </c>
      <c r="Y46" s="504">
        <f>Y48</f>
        <v>1</v>
      </c>
      <c r="Z46" s="505">
        <f>Z48</f>
        <v>4</v>
      </c>
    </row>
    <row r="47" spans="1:26" s="394" customFormat="1" ht="12" customHeight="1">
      <c r="A47" s="718"/>
      <c r="B47" s="716"/>
      <c r="C47" s="393" t="s">
        <v>577</v>
      </c>
      <c r="D47" s="379">
        <f>E47</f>
        <v>47</v>
      </c>
      <c r="E47" s="504">
        <f>SUM(F47:Y47)</f>
        <v>47</v>
      </c>
      <c r="F47" s="527" t="s">
        <v>60</v>
      </c>
      <c r="G47" s="527" t="s">
        <v>60</v>
      </c>
      <c r="H47" s="527" t="s">
        <v>60</v>
      </c>
      <c r="I47" s="527" t="s">
        <v>660</v>
      </c>
      <c r="J47" s="527" t="s">
        <v>660</v>
      </c>
      <c r="K47" s="504">
        <v>1</v>
      </c>
      <c r="L47" s="527" t="s">
        <v>660</v>
      </c>
      <c r="M47" s="527" t="s">
        <v>660</v>
      </c>
      <c r="N47" s="504">
        <v>1</v>
      </c>
      <c r="O47" s="504">
        <v>3</v>
      </c>
      <c r="P47" s="504">
        <v>2</v>
      </c>
      <c r="Q47" s="504">
        <v>8</v>
      </c>
      <c r="R47" s="504">
        <v>8</v>
      </c>
      <c r="S47" s="504">
        <v>11</v>
      </c>
      <c r="T47" s="504">
        <v>5</v>
      </c>
      <c r="U47" s="527" t="s">
        <v>653</v>
      </c>
      <c r="V47" s="527" t="s">
        <v>655</v>
      </c>
      <c r="W47" s="504">
        <v>8</v>
      </c>
      <c r="X47" s="527" t="s">
        <v>660</v>
      </c>
      <c r="Y47" s="527" t="s">
        <v>660</v>
      </c>
      <c r="Z47" s="527" t="s">
        <v>660</v>
      </c>
    </row>
    <row r="48" spans="1:26" s="394" customFormat="1" ht="12" customHeight="1">
      <c r="A48" s="718"/>
      <c r="B48" s="716"/>
      <c r="C48" s="393" t="s">
        <v>580</v>
      </c>
      <c r="D48" s="379">
        <f t="shared" si="0"/>
        <v>3355</v>
      </c>
      <c r="E48" s="504">
        <f>SUM(F48:Y48)</f>
        <v>3351</v>
      </c>
      <c r="F48" s="504">
        <v>11</v>
      </c>
      <c r="G48" s="504">
        <v>9</v>
      </c>
      <c r="H48" s="504">
        <v>125</v>
      </c>
      <c r="I48" s="504">
        <v>109</v>
      </c>
      <c r="J48" s="504">
        <v>62</v>
      </c>
      <c r="K48" s="504">
        <v>40</v>
      </c>
      <c r="L48" s="504">
        <v>71</v>
      </c>
      <c r="M48" s="504">
        <v>19</v>
      </c>
      <c r="N48" s="504">
        <v>6</v>
      </c>
      <c r="O48" s="504">
        <v>249</v>
      </c>
      <c r="P48" s="504">
        <v>146</v>
      </c>
      <c r="Q48" s="504">
        <v>543</v>
      </c>
      <c r="R48" s="504">
        <v>325</v>
      </c>
      <c r="S48" s="504">
        <v>817</v>
      </c>
      <c r="T48" s="504">
        <v>242</v>
      </c>
      <c r="U48" s="527" t="s">
        <v>653</v>
      </c>
      <c r="V48" s="504">
        <v>1</v>
      </c>
      <c r="W48" s="504">
        <v>487</v>
      </c>
      <c r="X48" s="504">
        <v>88</v>
      </c>
      <c r="Y48" s="504">
        <v>1</v>
      </c>
      <c r="Z48" s="504">
        <v>4</v>
      </c>
    </row>
    <row r="49" spans="1:26" s="394" customFormat="1" ht="12" customHeight="1">
      <c r="A49" s="718"/>
      <c r="B49" s="715" t="s">
        <v>579</v>
      </c>
      <c r="C49" s="393" t="s">
        <v>27</v>
      </c>
      <c r="D49" s="379">
        <f t="shared" si="0"/>
        <v>2614</v>
      </c>
      <c r="E49" s="504">
        <f aca="true" t="shared" si="14" ref="E49:X49">E50+E51</f>
        <v>2597</v>
      </c>
      <c r="F49" s="504">
        <f>F51</f>
        <v>3</v>
      </c>
      <c r="G49" s="504">
        <f>G51</f>
        <v>13</v>
      </c>
      <c r="H49" s="504">
        <f t="shared" si="14"/>
        <v>95</v>
      </c>
      <c r="I49" s="504">
        <f t="shared" si="14"/>
        <v>112</v>
      </c>
      <c r="J49" s="504">
        <f t="shared" si="14"/>
        <v>30</v>
      </c>
      <c r="K49" s="504">
        <f t="shared" si="14"/>
        <v>19</v>
      </c>
      <c r="L49" s="504">
        <f t="shared" si="14"/>
        <v>66</v>
      </c>
      <c r="M49" s="504">
        <f>M51</f>
        <v>6</v>
      </c>
      <c r="N49" s="504">
        <f t="shared" si="14"/>
        <v>38</v>
      </c>
      <c r="O49" s="504">
        <f t="shared" si="14"/>
        <v>109</v>
      </c>
      <c r="P49" s="504">
        <f t="shared" si="14"/>
        <v>106</v>
      </c>
      <c r="Q49" s="504">
        <f t="shared" si="14"/>
        <v>303</v>
      </c>
      <c r="R49" s="504">
        <f t="shared" si="14"/>
        <v>214</v>
      </c>
      <c r="S49" s="504">
        <f t="shared" si="14"/>
        <v>597</v>
      </c>
      <c r="T49" s="504">
        <f t="shared" si="14"/>
        <v>128</v>
      </c>
      <c r="U49" s="527" t="s">
        <v>653</v>
      </c>
      <c r="V49" s="527" t="s">
        <v>660</v>
      </c>
      <c r="W49" s="504">
        <f t="shared" si="14"/>
        <v>671</v>
      </c>
      <c r="X49" s="504">
        <f t="shared" si="14"/>
        <v>86</v>
      </c>
      <c r="Y49" s="504">
        <f>Y51</f>
        <v>1</v>
      </c>
      <c r="Z49" s="505">
        <f>Z51</f>
        <v>17</v>
      </c>
    </row>
    <row r="50" spans="1:26" s="394" customFormat="1" ht="12" customHeight="1">
      <c r="A50" s="718"/>
      <c r="B50" s="716"/>
      <c r="C50" s="393" t="s">
        <v>577</v>
      </c>
      <c r="D50" s="379">
        <f>E50</f>
        <v>75</v>
      </c>
      <c r="E50" s="504">
        <f>SUM(F50:Y50)</f>
        <v>75</v>
      </c>
      <c r="F50" s="528" t="s">
        <v>60</v>
      </c>
      <c r="G50" s="527" t="s">
        <v>60</v>
      </c>
      <c r="H50" s="505">
        <v>2</v>
      </c>
      <c r="I50" s="505">
        <v>4</v>
      </c>
      <c r="J50" s="505">
        <v>4</v>
      </c>
      <c r="K50" s="505">
        <v>1</v>
      </c>
      <c r="L50" s="505">
        <v>1</v>
      </c>
      <c r="M50" s="528" t="s">
        <v>660</v>
      </c>
      <c r="N50" s="505">
        <v>1</v>
      </c>
      <c r="O50" s="505">
        <v>5</v>
      </c>
      <c r="P50" s="505">
        <v>7</v>
      </c>
      <c r="Q50" s="505">
        <v>16</v>
      </c>
      <c r="R50" s="505">
        <v>9</v>
      </c>
      <c r="S50" s="505">
        <v>15</v>
      </c>
      <c r="T50" s="505">
        <v>2</v>
      </c>
      <c r="U50" s="528" t="s">
        <v>653</v>
      </c>
      <c r="V50" s="528" t="s">
        <v>653</v>
      </c>
      <c r="W50" s="505">
        <v>5</v>
      </c>
      <c r="X50" s="505">
        <v>3</v>
      </c>
      <c r="Y50" s="528" t="s">
        <v>660</v>
      </c>
      <c r="Z50" s="528" t="s">
        <v>660</v>
      </c>
    </row>
    <row r="51" spans="1:26" s="394" customFormat="1" ht="12" customHeight="1">
      <c r="A51" s="718"/>
      <c r="B51" s="716"/>
      <c r="C51" s="393" t="s">
        <v>580</v>
      </c>
      <c r="D51" s="379">
        <f t="shared" si="0"/>
        <v>2539</v>
      </c>
      <c r="E51" s="504">
        <f>SUM(F51:Y51)</f>
        <v>2522</v>
      </c>
      <c r="F51" s="505">
        <v>3</v>
      </c>
      <c r="G51" s="505">
        <v>13</v>
      </c>
      <c r="H51" s="505">
        <v>93</v>
      </c>
      <c r="I51" s="505">
        <v>108</v>
      </c>
      <c r="J51" s="505">
        <v>26</v>
      </c>
      <c r="K51" s="505">
        <v>18</v>
      </c>
      <c r="L51" s="505">
        <v>65</v>
      </c>
      <c r="M51" s="505">
        <v>6</v>
      </c>
      <c r="N51" s="505">
        <v>37</v>
      </c>
      <c r="O51" s="505">
        <v>104</v>
      </c>
      <c r="P51" s="505">
        <v>99</v>
      </c>
      <c r="Q51" s="505">
        <v>287</v>
      </c>
      <c r="R51" s="505">
        <v>205</v>
      </c>
      <c r="S51" s="505">
        <v>582</v>
      </c>
      <c r="T51" s="505">
        <v>126</v>
      </c>
      <c r="U51" s="528" t="s">
        <v>653</v>
      </c>
      <c r="V51" s="527" t="s">
        <v>653</v>
      </c>
      <c r="W51" s="505">
        <v>666</v>
      </c>
      <c r="X51" s="505">
        <v>83</v>
      </c>
      <c r="Y51" s="505">
        <v>1</v>
      </c>
      <c r="Z51" s="504">
        <v>17</v>
      </c>
    </row>
    <row r="52" spans="1:26" ht="0.75" customHeight="1" thickBot="1">
      <c r="A52" s="350"/>
      <c r="B52" s="354"/>
      <c r="C52" s="351"/>
      <c r="D52" s="35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</row>
  </sheetData>
  <mergeCells count="60">
    <mergeCell ref="S4:T4"/>
    <mergeCell ref="A2:M2"/>
    <mergeCell ref="N2:Z2"/>
    <mergeCell ref="U5:V6"/>
    <mergeCell ref="A5:A6"/>
    <mergeCell ref="C5:C6"/>
    <mergeCell ref="D5:D6"/>
    <mergeCell ref="E5:E6"/>
    <mergeCell ref="G7:G8"/>
    <mergeCell ref="H7:H8"/>
    <mergeCell ref="I7:I8"/>
    <mergeCell ref="Z4:Z7"/>
    <mergeCell ref="F5:G6"/>
    <mergeCell ref="H5:I6"/>
    <mergeCell ref="O5:P6"/>
    <mergeCell ref="Q5:R6"/>
    <mergeCell ref="S5:T6"/>
    <mergeCell ref="E4:M4"/>
    <mergeCell ref="A7:A8"/>
    <mergeCell ref="C7:C9"/>
    <mergeCell ref="D7:D9"/>
    <mergeCell ref="F7:F8"/>
    <mergeCell ref="W7:W8"/>
    <mergeCell ref="W5:X6"/>
    <mergeCell ref="Y5:Y7"/>
    <mergeCell ref="J6:K6"/>
    <mergeCell ref="S7:S8"/>
    <mergeCell ref="J7:J8"/>
    <mergeCell ref="K7:K8"/>
    <mergeCell ref="L7:M7"/>
    <mergeCell ref="O7:O8"/>
    <mergeCell ref="P7:P8"/>
    <mergeCell ref="Y8:Y9"/>
    <mergeCell ref="B10:B12"/>
    <mergeCell ref="B13:B15"/>
    <mergeCell ref="B16:B18"/>
    <mergeCell ref="Q7:Q8"/>
    <mergeCell ref="R7:R8"/>
    <mergeCell ref="X7:X8"/>
    <mergeCell ref="T7:T8"/>
    <mergeCell ref="U7:U8"/>
    <mergeCell ref="V7:V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A10:A15"/>
    <mergeCell ref="A46:A51"/>
    <mergeCell ref="A40:A45"/>
    <mergeCell ref="A34:A39"/>
    <mergeCell ref="A28:A33"/>
    <mergeCell ref="A22:A27"/>
    <mergeCell ref="A16:A21"/>
  </mergeCells>
  <printOptions horizontalCentered="1"/>
  <pageMargins left="1.1023622047244095" right="1.1023622047244095" top="1.5748031496062993" bottom="1.4960629921259843" header="0.5118110236220472" footer="0.9055118110236221"/>
  <pageSetup firstPageNumber="6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20" zoomScaleNormal="120" workbookViewId="0" topLeftCell="A1">
      <selection activeCell="A2" sqref="A2:H2"/>
    </sheetView>
  </sheetViews>
  <sheetFormatPr defaultColWidth="9.00390625" defaultRowHeight="16.5"/>
  <cols>
    <col min="1" max="1" width="14.125" style="389" customWidth="1"/>
    <col min="2" max="2" width="16.625" style="389" customWidth="1"/>
    <col min="3" max="8" width="7.375" style="389" customWidth="1"/>
    <col min="9" max="9" width="8.625" style="389" customWidth="1"/>
    <col min="10" max="11" width="8.125" style="389" customWidth="1"/>
    <col min="12" max="12" width="8.625" style="389" customWidth="1"/>
    <col min="13" max="14" width="8.125" style="389" customWidth="1"/>
    <col min="15" max="15" width="8.625" style="389" customWidth="1"/>
    <col min="16" max="17" width="8.125" style="389" customWidth="1"/>
    <col min="18" max="16384" width="9.00390625" style="389" customWidth="1"/>
  </cols>
  <sheetData>
    <row r="1" spans="1:17" s="337" customFormat="1" ht="18" customHeight="1">
      <c r="A1" s="378" t="s">
        <v>131</v>
      </c>
      <c r="B1" s="335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8" t="s">
        <v>625</v>
      </c>
    </row>
    <row r="2" spans="1:17" s="401" customFormat="1" ht="24.75" customHeight="1">
      <c r="A2" s="733" t="s">
        <v>622</v>
      </c>
      <c r="B2" s="732"/>
      <c r="C2" s="732"/>
      <c r="D2" s="732"/>
      <c r="E2" s="732"/>
      <c r="F2" s="732"/>
      <c r="G2" s="732"/>
      <c r="H2" s="732"/>
      <c r="I2" s="732" t="s">
        <v>623</v>
      </c>
      <c r="J2" s="732"/>
      <c r="K2" s="732"/>
      <c r="L2" s="732"/>
      <c r="M2" s="732"/>
      <c r="N2" s="732"/>
      <c r="O2" s="732"/>
      <c r="P2" s="732"/>
      <c r="Q2" s="732"/>
    </row>
    <row r="3" spans="2:17" s="352" customFormat="1" ht="15" customHeight="1" thickBot="1">
      <c r="B3" s="402"/>
      <c r="C3" s="403"/>
      <c r="D3" s="403"/>
      <c r="E3" s="403"/>
      <c r="F3" s="403"/>
      <c r="G3" s="404"/>
      <c r="H3" s="384" t="s">
        <v>132</v>
      </c>
      <c r="I3" s="405"/>
      <c r="J3" s="406" t="s">
        <v>624</v>
      </c>
      <c r="K3" s="407"/>
      <c r="L3" s="407"/>
      <c r="M3" s="402"/>
      <c r="N3" s="407"/>
      <c r="O3" s="407"/>
      <c r="P3" s="402"/>
      <c r="Q3" s="55" t="s">
        <v>393</v>
      </c>
    </row>
    <row r="4" spans="1:17" s="352" customFormat="1" ht="16.5" customHeight="1">
      <c r="A4" s="745" t="s">
        <v>234</v>
      </c>
      <c r="B4" s="747" t="s">
        <v>572</v>
      </c>
      <c r="C4" s="739" t="s">
        <v>620</v>
      </c>
      <c r="D4" s="740"/>
      <c r="E4" s="741"/>
      <c r="F4" s="739" t="s">
        <v>30</v>
      </c>
      <c r="G4" s="740"/>
      <c r="H4" s="741"/>
      <c r="I4" s="749" t="s">
        <v>621</v>
      </c>
      <c r="J4" s="740"/>
      <c r="K4" s="741"/>
      <c r="L4" s="739" t="s">
        <v>31</v>
      </c>
      <c r="M4" s="740"/>
      <c r="N4" s="741"/>
      <c r="O4" s="739" t="s">
        <v>32</v>
      </c>
      <c r="P4" s="740"/>
      <c r="Q4" s="741"/>
    </row>
    <row r="5" spans="1:17" s="352" customFormat="1" ht="16.5" customHeight="1">
      <c r="A5" s="746"/>
      <c r="B5" s="748"/>
      <c r="C5" s="742"/>
      <c r="D5" s="743"/>
      <c r="E5" s="744"/>
      <c r="F5" s="742"/>
      <c r="G5" s="743"/>
      <c r="H5" s="744"/>
      <c r="I5" s="743"/>
      <c r="J5" s="743"/>
      <c r="K5" s="744"/>
      <c r="L5" s="742"/>
      <c r="M5" s="743"/>
      <c r="N5" s="744"/>
      <c r="O5" s="742"/>
      <c r="P5" s="743"/>
      <c r="Q5" s="744"/>
    </row>
    <row r="6" spans="1:17" s="352" customFormat="1" ht="30" customHeight="1" thickBot="1">
      <c r="A6" s="385" t="s">
        <v>145</v>
      </c>
      <c r="B6" s="390" t="s">
        <v>33</v>
      </c>
      <c r="C6" s="552" t="s">
        <v>34</v>
      </c>
      <c r="D6" s="552" t="s">
        <v>35</v>
      </c>
      <c r="E6" s="552" t="s">
        <v>10</v>
      </c>
      <c r="F6" s="552" t="s">
        <v>36</v>
      </c>
      <c r="G6" s="552" t="s">
        <v>35</v>
      </c>
      <c r="H6" s="553" t="s">
        <v>10</v>
      </c>
      <c r="I6" s="554" t="s">
        <v>36</v>
      </c>
      <c r="J6" s="552" t="s">
        <v>35</v>
      </c>
      <c r="K6" s="553" t="s">
        <v>10</v>
      </c>
      <c r="L6" s="552" t="s">
        <v>37</v>
      </c>
      <c r="M6" s="552" t="s">
        <v>35</v>
      </c>
      <c r="N6" s="553" t="s">
        <v>10</v>
      </c>
      <c r="O6" s="552" t="s">
        <v>37</v>
      </c>
      <c r="P6" s="552" t="s">
        <v>35</v>
      </c>
      <c r="Q6" s="553" t="s">
        <v>10</v>
      </c>
    </row>
    <row r="7" spans="1:17" s="394" customFormat="1" ht="16.5" customHeight="1">
      <c r="A7" s="750" t="s">
        <v>606</v>
      </c>
      <c r="B7" s="399" t="s">
        <v>29</v>
      </c>
      <c r="C7" s="408">
        <f>D7+E7</f>
        <v>51213</v>
      </c>
      <c r="D7" s="529">
        <f>G7+J7+M7+P7</f>
        <v>24892</v>
      </c>
      <c r="E7" s="529">
        <f>H7+K7+N7+Q7</f>
        <v>26321</v>
      </c>
      <c r="F7" s="529">
        <f>G7+H7</f>
        <v>28493</v>
      </c>
      <c r="G7" s="529">
        <f>G8+G9</f>
        <v>15549</v>
      </c>
      <c r="H7" s="529">
        <f aca="true" t="shared" si="0" ref="H7:Q7">H8+H9</f>
        <v>12944</v>
      </c>
      <c r="I7" s="529">
        <f>J7+K7</f>
        <v>17397</v>
      </c>
      <c r="J7" s="529">
        <f t="shared" si="0"/>
        <v>7583</v>
      </c>
      <c r="K7" s="529">
        <f t="shared" si="0"/>
        <v>9814</v>
      </c>
      <c r="L7" s="529">
        <f aca="true" t="shared" si="1" ref="L7:L36">M7+N7</f>
        <v>3820</v>
      </c>
      <c r="M7" s="529">
        <f t="shared" si="0"/>
        <v>1542</v>
      </c>
      <c r="N7" s="529">
        <f t="shared" si="0"/>
        <v>2278</v>
      </c>
      <c r="O7" s="529">
        <f aca="true" t="shared" si="2" ref="O7:O36">P7+Q7</f>
        <v>1503</v>
      </c>
      <c r="P7" s="529">
        <f t="shared" si="0"/>
        <v>218</v>
      </c>
      <c r="Q7" s="529">
        <f t="shared" si="0"/>
        <v>1285</v>
      </c>
    </row>
    <row r="8" spans="1:17" s="394" customFormat="1" ht="16.5" customHeight="1">
      <c r="A8" s="751"/>
      <c r="B8" s="400" t="s">
        <v>607</v>
      </c>
      <c r="C8" s="409">
        <f aca="true" t="shared" si="3" ref="C8:C36">D8+E8</f>
        <v>27985</v>
      </c>
      <c r="D8" s="530">
        <f aca="true" t="shared" si="4" ref="D8:E36">G8+J8+M8+P8</f>
        <v>14029</v>
      </c>
      <c r="E8" s="530">
        <f t="shared" si="4"/>
        <v>13956</v>
      </c>
      <c r="F8" s="530">
        <f aca="true" t="shared" si="5" ref="F8:F36">G8+H8</f>
        <v>15795</v>
      </c>
      <c r="G8" s="530">
        <v>8659</v>
      </c>
      <c r="H8" s="530">
        <v>7136</v>
      </c>
      <c r="I8" s="530">
        <f>J8+K8</f>
        <v>9494</v>
      </c>
      <c r="J8" s="530">
        <v>4360</v>
      </c>
      <c r="K8" s="530">
        <v>5134</v>
      </c>
      <c r="L8" s="530">
        <f t="shared" si="1"/>
        <v>2114</v>
      </c>
      <c r="M8" s="530">
        <v>913</v>
      </c>
      <c r="N8" s="530">
        <v>1201</v>
      </c>
      <c r="O8" s="530">
        <f t="shared" si="2"/>
        <v>582</v>
      </c>
      <c r="P8" s="530">
        <v>97</v>
      </c>
      <c r="Q8" s="530">
        <v>485</v>
      </c>
    </row>
    <row r="9" spans="1:17" s="394" customFormat="1" ht="16.5" customHeight="1">
      <c r="A9" s="751"/>
      <c r="B9" s="400" t="s">
        <v>608</v>
      </c>
      <c r="C9" s="409">
        <f t="shared" si="3"/>
        <v>23228</v>
      </c>
      <c r="D9" s="530">
        <f t="shared" si="4"/>
        <v>10863</v>
      </c>
      <c r="E9" s="530">
        <f t="shared" si="4"/>
        <v>12365</v>
      </c>
      <c r="F9" s="530">
        <f t="shared" si="5"/>
        <v>12698</v>
      </c>
      <c r="G9" s="530">
        <v>6890</v>
      </c>
      <c r="H9" s="530">
        <v>5808</v>
      </c>
      <c r="I9" s="530">
        <f aca="true" t="shared" si="6" ref="I9:I36">J9+K9</f>
        <v>7903</v>
      </c>
      <c r="J9" s="530">
        <v>3223</v>
      </c>
      <c r="K9" s="530">
        <v>4680</v>
      </c>
      <c r="L9" s="530">
        <f t="shared" si="1"/>
        <v>1706</v>
      </c>
      <c r="M9" s="530">
        <v>629</v>
      </c>
      <c r="N9" s="530">
        <v>1077</v>
      </c>
      <c r="O9" s="530">
        <f t="shared" si="2"/>
        <v>921</v>
      </c>
      <c r="P9" s="530">
        <v>121</v>
      </c>
      <c r="Q9" s="530">
        <v>800</v>
      </c>
    </row>
    <row r="10" spans="1:17" s="394" customFormat="1" ht="16.5" customHeight="1">
      <c r="A10" s="752" t="s">
        <v>609</v>
      </c>
      <c r="B10" s="400" t="s">
        <v>29</v>
      </c>
      <c r="C10" s="409">
        <f t="shared" si="3"/>
        <v>53436</v>
      </c>
      <c r="D10" s="530">
        <f t="shared" si="4"/>
        <v>25873</v>
      </c>
      <c r="E10" s="530">
        <f t="shared" si="4"/>
        <v>27563</v>
      </c>
      <c r="F10" s="530">
        <f t="shared" si="5"/>
        <v>29809</v>
      </c>
      <c r="G10" s="530">
        <f aca="true" t="shared" si="7" ref="G10:Q10">G11+G12</f>
        <v>16216</v>
      </c>
      <c r="H10" s="530">
        <f t="shared" si="7"/>
        <v>13593</v>
      </c>
      <c r="I10" s="530">
        <f t="shared" si="6"/>
        <v>17776</v>
      </c>
      <c r="J10" s="530">
        <f t="shared" si="7"/>
        <v>7715</v>
      </c>
      <c r="K10" s="530">
        <f t="shared" si="7"/>
        <v>10061</v>
      </c>
      <c r="L10" s="530">
        <f t="shared" si="1"/>
        <v>4210</v>
      </c>
      <c r="M10" s="530">
        <f t="shared" si="7"/>
        <v>1704</v>
      </c>
      <c r="N10" s="530">
        <f t="shared" si="7"/>
        <v>2506</v>
      </c>
      <c r="O10" s="530">
        <f t="shared" si="2"/>
        <v>1641</v>
      </c>
      <c r="P10" s="530">
        <f t="shared" si="7"/>
        <v>238</v>
      </c>
      <c r="Q10" s="530">
        <f t="shared" si="7"/>
        <v>1403</v>
      </c>
    </row>
    <row r="11" spans="1:17" s="394" customFormat="1" ht="16.5" customHeight="1">
      <c r="A11" s="751"/>
      <c r="B11" s="400" t="s">
        <v>610</v>
      </c>
      <c r="C11" s="409">
        <f t="shared" si="3"/>
        <v>29168</v>
      </c>
      <c r="D11" s="530">
        <f t="shared" si="4"/>
        <v>14547</v>
      </c>
      <c r="E11" s="530">
        <f t="shared" si="4"/>
        <v>14621</v>
      </c>
      <c r="F11" s="530">
        <f t="shared" si="5"/>
        <v>16446</v>
      </c>
      <c r="G11" s="530">
        <v>8987</v>
      </c>
      <c r="H11" s="530">
        <v>7459</v>
      </c>
      <c r="I11" s="530">
        <f t="shared" si="6"/>
        <v>9753</v>
      </c>
      <c r="J11" s="530">
        <v>4439</v>
      </c>
      <c r="K11" s="530">
        <v>5314</v>
      </c>
      <c r="L11" s="530">
        <f t="shared" si="1"/>
        <v>2329</v>
      </c>
      <c r="M11" s="530">
        <v>1020</v>
      </c>
      <c r="N11" s="530">
        <v>1309</v>
      </c>
      <c r="O11" s="530">
        <f t="shared" si="2"/>
        <v>640</v>
      </c>
      <c r="P11" s="530">
        <v>101</v>
      </c>
      <c r="Q11" s="530">
        <v>539</v>
      </c>
    </row>
    <row r="12" spans="1:17" s="394" customFormat="1" ht="16.5" customHeight="1">
      <c r="A12" s="751"/>
      <c r="B12" s="400" t="s">
        <v>611</v>
      </c>
      <c r="C12" s="409">
        <f t="shared" si="3"/>
        <v>24268</v>
      </c>
      <c r="D12" s="530">
        <f t="shared" si="4"/>
        <v>11326</v>
      </c>
      <c r="E12" s="530">
        <f t="shared" si="4"/>
        <v>12942</v>
      </c>
      <c r="F12" s="530">
        <f t="shared" si="5"/>
        <v>13363</v>
      </c>
      <c r="G12" s="530">
        <v>7229</v>
      </c>
      <c r="H12" s="530">
        <v>6134</v>
      </c>
      <c r="I12" s="530">
        <f t="shared" si="6"/>
        <v>8023</v>
      </c>
      <c r="J12" s="530">
        <v>3276</v>
      </c>
      <c r="K12" s="530">
        <v>4747</v>
      </c>
      <c r="L12" s="530">
        <f t="shared" si="1"/>
        <v>1881</v>
      </c>
      <c r="M12" s="530">
        <v>684</v>
      </c>
      <c r="N12" s="530">
        <v>1197</v>
      </c>
      <c r="O12" s="530">
        <f t="shared" si="2"/>
        <v>1001</v>
      </c>
      <c r="P12" s="530">
        <v>137</v>
      </c>
      <c r="Q12" s="530">
        <v>864</v>
      </c>
    </row>
    <row r="13" spans="1:17" s="394" customFormat="1" ht="16.5" customHeight="1">
      <c r="A13" s="752" t="s">
        <v>612</v>
      </c>
      <c r="B13" s="400" t="s">
        <v>29</v>
      </c>
      <c r="C13" s="409">
        <f t="shared" si="3"/>
        <v>55704</v>
      </c>
      <c r="D13" s="530">
        <f t="shared" si="4"/>
        <v>26921</v>
      </c>
      <c r="E13" s="530">
        <f t="shared" si="4"/>
        <v>28783</v>
      </c>
      <c r="F13" s="530">
        <f t="shared" si="5"/>
        <v>31078</v>
      </c>
      <c r="G13" s="530">
        <f aca="true" t="shared" si="8" ref="G13:Q13">G14+G15</f>
        <v>16866</v>
      </c>
      <c r="H13" s="530">
        <f t="shared" si="8"/>
        <v>14212</v>
      </c>
      <c r="I13" s="530">
        <f t="shared" si="6"/>
        <v>18353</v>
      </c>
      <c r="J13" s="530">
        <f t="shared" si="8"/>
        <v>7977</v>
      </c>
      <c r="K13" s="530">
        <f t="shared" si="8"/>
        <v>10376</v>
      </c>
      <c r="L13" s="530">
        <f t="shared" si="1"/>
        <v>4506</v>
      </c>
      <c r="M13" s="530">
        <f t="shared" si="8"/>
        <v>1834</v>
      </c>
      <c r="N13" s="530">
        <f t="shared" si="8"/>
        <v>2672</v>
      </c>
      <c r="O13" s="530">
        <f t="shared" si="2"/>
        <v>1767</v>
      </c>
      <c r="P13" s="530">
        <f t="shared" si="8"/>
        <v>244</v>
      </c>
      <c r="Q13" s="530">
        <f t="shared" si="8"/>
        <v>1523</v>
      </c>
    </row>
    <row r="14" spans="1:17" s="394" customFormat="1" ht="16.5" customHeight="1">
      <c r="A14" s="751"/>
      <c r="B14" s="400" t="s">
        <v>610</v>
      </c>
      <c r="C14" s="409">
        <f t="shared" si="3"/>
        <v>30469</v>
      </c>
      <c r="D14" s="530">
        <f t="shared" si="4"/>
        <v>15153</v>
      </c>
      <c r="E14" s="530">
        <f t="shared" si="4"/>
        <v>15316</v>
      </c>
      <c r="F14" s="530">
        <f t="shared" si="5"/>
        <v>17153</v>
      </c>
      <c r="G14" s="530">
        <v>9349</v>
      </c>
      <c r="H14" s="530">
        <v>7804</v>
      </c>
      <c r="I14" s="530">
        <f t="shared" si="6"/>
        <v>10097</v>
      </c>
      <c r="J14" s="530">
        <v>4595</v>
      </c>
      <c r="K14" s="530">
        <v>5502</v>
      </c>
      <c r="L14" s="530">
        <f t="shared" si="1"/>
        <v>2529</v>
      </c>
      <c r="M14" s="530">
        <v>1101</v>
      </c>
      <c r="N14" s="530">
        <v>1428</v>
      </c>
      <c r="O14" s="530">
        <f t="shared" si="2"/>
        <v>690</v>
      </c>
      <c r="P14" s="530">
        <v>108</v>
      </c>
      <c r="Q14" s="530">
        <v>582</v>
      </c>
    </row>
    <row r="15" spans="1:17" s="394" customFormat="1" ht="16.5" customHeight="1">
      <c r="A15" s="751"/>
      <c r="B15" s="400" t="s">
        <v>611</v>
      </c>
      <c r="C15" s="409">
        <f t="shared" si="3"/>
        <v>25235</v>
      </c>
      <c r="D15" s="530">
        <f t="shared" si="4"/>
        <v>11768</v>
      </c>
      <c r="E15" s="530">
        <f t="shared" si="4"/>
        <v>13467</v>
      </c>
      <c r="F15" s="530">
        <f t="shared" si="5"/>
        <v>13925</v>
      </c>
      <c r="G15" s="530">
        <v>7517</v>
      </c>
      <c r="H15" s="530">
        <v>6408</v>
      </c>
      <c r="I15" s="530">
        <f t="shared" si="6"/>
        <v>8256</v>
      </c>
      <c r="J15" s="530">
        <v>3382</v>
      </c>
      <c r="K15" s="530">
        <v>4874</v>
      </c>
      <c r="L15" s="530">
        <f t="shared" si="1"/>
        <v>1977</v>
      </c>
      <c r="M15" s="530">
        <v>733</v>
      </c>
      <c r="N15" s="530">
        <v>1244</v>
      </c>
      <c r="O15" s="530">
        <f t="shared" si="2"/>
        <v>1077</v>
      </c>
      <c r="P15" s="530">
        <v>136</v>
      </c>
      <c r="Q15" s="530">
        <v>941</v>
      </c>
    </row>
    <row r="16" spans="1:17" s="394" customFormat="1" ht="16.5" customHeight="1">
      <c r="A16" s="752" t="s">
        <v>613</v>
      </c>
      <c r="B16" s="400" t="s">
        <v>29</v>
      </c>
      <c r="C16" s="409">
        <f t="shared" si="3"/>
        <v>57632</v>
      </c>
      <c r="D16" s="530">
        <f t="shared" si="4"/>
        <v>27787</v>
      </c>
      <c r="E16" s="530">
        <f t="shared" si="4"/>
        <v>29845</v>
      </c>
      <c r="F16" s="530">
        <f t="shared" si="5"/>
        <v>32233</v>
      </c>
      <c r="G16" s="530">
        <f aca="true" t="shared" si="9" ref="G16:Q16">G17+G18</f>
        <v>17489</v>
      </c>
      <c r="H16" s="530">
        <f t="shared" si="9"/>
        <v>14744</v>
      </c>
      <c r="I16" s="530">
        <f t="shared" si="6"/>
        <v>18664</v>
      </c>
      <c r="J16" s="530">
        <f t="shared" si="9"/>
        <v>8096</v>
      </c>
      <c r="K16" s="530">
        <f t="shared" si="9"/>
        <v>10568</v>
      </c>
      <c r="L16" s="530">
        <f t="shared" si="1"/>
        <v>4875</v>
      </c>
      <c r="M16" s="530">
        <f t="shared" si="9"/>
        <v>1956</v>
      </c>
      <c r="N16" s="530">
        <f t="shared" si="9"/>
        <v>2919</v>
      </c>
      <c r="O16" s="530">
        <f t="shared" si="2"/>
        <v>1860</v>
      </c>
      <c r="P16" s="530">
        <f t="shared" si="9"/>
        <v>246</v>
      </c>
      <c r="Q16" s="530">
        <f t="shared" si="9"/>
        <v>1614</v>
      </c>
    </row>
    <row r="17" spans="1:17" s="394" customFormat="1" ht="16.5" customHeight="1">
      <c r="A17" s="751"/>
      <c r="B17" s="400" t="s">
        <v>610</v>
      </c>
      <c r="C17" s="409">
        <f t="shared" si="3"/>
        <v>31534</v>
      </c>
      <c r="D17" s="530">
        <f t="shared" si="4"/>
        <v>15618</v>
      </c>
      <c r="E17" s="530">
        <f t="shared" si="4"/>
        <v>15916</v>
      </c>
      <c r="F17" s="530">
        <f t="shared" si="5"/>
        <v>17788</v>
      </c>
      <c r="G17" s="530">
        <v>9694</v>
      </c>
      <c r="H17" s="530">
        <v>8094</v>
      </c>
      <c r="I17" s="530">
        <f t="shared" si="6"/>
        <v>10267</v>
      </c>
      <c r="J17" s="530">
        <v>4646</v>
      </c>
      <c r="K17" s="530">
        <v>5621</v>
      </c>
      <c r="L17" s="530">
        <f t="shared" si="1"/>
        <v>2730</v>
      </c>
      <c r="M17" s="530">
        <v>1165</v>
      </c>
      <c r="N17" s="530">
        <v>1565</v>
      </c>
      <c r="O17" s="530">
        <f t="shared" si="2"/>
        <v>749</v>
      </c>
      <c r="P17" s="530">
        <v>113</v>
      </c>
      <c r="Q17" s="530">
        <v>636</v>
      </c>
    </row>
    <row r="18" spans="1:17" s="394" customFormat="1" ht="16.5" customHeight="1">
      <c r="A18" s="751"/>
      <c r="B18" s="400" t="s">
        <v>611</v>
      </c>
      <c r="C18" s="409">
        <f t="shared" si="3"/>
        <v>26098</v>
      </c>
      <c r="D18" s="530">
        <f t="shared" si="4"/>
        <v>12169</v>
      </c>
      <c r="E18" s="530">
        <f t="shared" si="4"/>
        <v>13929</v>
      </c>
      <c r="F18" s="530">
        <f t="shared" si="5"/>
        <v>14445</v>
      </c>
      <c r="G18" s="530">
        <v>7795</v>
      </c>
      <c r="H18" s="530">
        <v>6650</v>
      </c>
      <c r="I18" s="530">
        <f t="shared" si="6"/>
        <v>8397</v>
      </c>
      <c r="J18" s="530">
        <v>3450</v>
      </c>
      <c r="K18" s="530">
        <v>4947</v>
      </c>
      <c r="L18" s="530">
        <f t="shared" si="1"/>
        <v>2145</v>
      </c>
      <c r="M18" s="530">
        <v>791</v>
      </c>
      <c r="N18" s="530">
        <v>1354</v>
      </c>
      <c r="O18" s="530">
        <f t="shared" si="2"/>
        <v>1111</v>
      </c>
      <c r="P18" s="530">
        <v>133</v>
      </c>
      <c r="Q18" s="530">
        <v>978</v>
      </c>
    </row>
    <row r="19" spans="1:17" s="394" customFormat="1" ht="16.5" customHeight="1">
      <c r="A19" s="752" t="s">
        <v>614</v>
      </c>
      <c r="B19" s="400" t="s">
        <v>29</v>
      </c>
      <c r="C19" s="409">
        <f t="shared" si="3"/>
        <v>59321</v>
      </c>
      <c r="D19" s="530">
        <f t="shared" si="4"/>
        <v>28597</v>
      </c>
      <c r="E19" s="530">
        <f t="shared" si="4"/>
        <v>30724</v>
      </c>
      <c r="F19" s="530">
        <f t="shared" si="5"/>
        <v>33146</v>
      </c>
      <c r="G19" s="530">
        <f aca="true" t="shared" si="10" ref="G19:Q19">G20+G21</f>
        <v>17993</v>
      </c>
      <c r="H19" s="530">
        <f t="shared" si="10"/>
        <v>15153</v>
      </c>
      <c r="I19" s="530">
        <f t="shared" si="6"/>
        <v>19036</v>
      </c>
      <c r="J19" s="530">
        <f t="shared" si="10"/>
        <v>8261</v>
      </c>
      <c r="K19" s="530">
        <f t="shared" si="10"/>
        <v>10775</v>
      </c>
      <c r="L19" s="530">
        <f t="shared" si="1"/>
        <v>5180</v>
      </c>
      <c r="M19" s="530">
        <f t="shared" si="10"/>
        <v>2087</v>
      </c>
      <c r="N19" s="530">
        <f t="shared" si="10"/>
        <v>3093</v>
      </c>
      <c r="O19" s="530">
        <f t="shared" si="2"/>
        <v>1959</v>
      </c>
      <c r="P19" s="530">
        <f t="shared" si="10"/>
        <v>256</v>
      </c>
      <c r="Q19" s="530">
        <f t="shared" si="10"/>
        <v>1703</v>
      </c>
    </row>
    <row r="20" spans="1:17" s="394" customFormat="1" ht="16.5" customHeight="1">
      <c r="A20" s="751"/>
      <c r="B20" s="400" t="s">
        <v>610</v>
      </c>
      <c r="C20" s="409">
        <f t="shared" si="3"/>
        <v>32515</v>
      </c>
      <c r="D20" s="530">
        <f t="shared" si="4"/>
        <v>16087</v>
      </c>
      <c r="E20" s="530">
        <f t="shared" si="4"/>
        <v>16428</v>
      </c>
      <c r="F20" s="530">
        <f t="shared" si="5"/>
        <v>18330</v>
      </c>
      <c r="G20" s="530">
        <v>9983</v>
      </c>
      <c r="H20" s="530">
        <v>8347</v>
      </c>
      <c r="I20" s="530">
        <f t="shared" si="6"/>
        <v>10492</v>
      </c>
      <c r="J20" s="530">
        <v>4752</v>
      </c>
      <c r="K20" s="530">
        <v>5740</v>
      </c>
      <c r="L20" s="530">
        <f t="shared" si="1"/>
        <v>2904</v>
      </c>
      <c r="M20" s="530">
        <v>1234</v>
      </c>
      <c r="N20" s="530">
        <v>1670</v>
      </c>
      <c r="O20" s="530">
        <f t="shared" si="2"/>
        <v>789</v>
      </c>
      <c r="P20" s="530">
        <v>118</v>
      </c>
      <c r="Q20" s="530">
        <v>671</v>
      </c>
    </row>
    <row r="21" spans="1:17" s="394" customFormat="1" ht="16.5" customHeight="1">
      <c r="A21" s="751"/>
      <c r="B21" s="400" t="s">
        <v>611</v>
      </c>
      <c r="C21" s="409">
        <f t="shared" si="3"/>
        <v>26806</v>
      </c>
      <c r="D21" s="530">
        <f t="shared" si="4"/>
        <v>12510</v>
      </c>
      <c r="E21" s="530">
        <f t="shared" si="4"/>
        <v>14296</v>
      </c>
      <c r="F21" s="530">
        <f t="shared" si="5"/>
        <v>14816</v>
      </c>
      <c r="G21" s="530">
        <v>8010</v>
      </c>
      <c r="H21" s="530">
        <v>6806</v>
      </c>
      <c r="I21" s="530">
        <f t="shared" si="6"/>
        <v>8544</v>
      </c>
      <c r="J21" s="530">
        <v>3509</v>
      </c>
      <c r="K21" s="530">
        <v>5035</v>
      </c>
      <c r="L21" s="530">
        <f t="shared" si="1"/>
        <v>2276</v>
      </c>
      <c r="M21" s="530">
        <v>853</v>
      </c>
      <c r="N21" s="530">
        <v>1423</v>
      </c>
      <c r="O21" s="530">
        <f t="shared" si="2"/>
        <v>1170</v>
      </c>
      <c r="P21" s="530">
        <v>138</v>
      </c>
      <c r="Q21" s="530">
        <v>1032</v>
      </c>
    </row>
    <row r="22" spans="1:17" s="394" customFormat="1" ht="16.5" customHeight="1">
      <c r="A22" s="752" t="s">
        <v>615</v>
      </c>
      <c r="B22" s="400" t="s">
        <v>29</v>
      </c>
      <c r="C22" s="409">
        <f t="shared" si="3"/>
        <v>61044</v>
      </c>
      <c r="D22" s="530">
        <f t="shared" si="4"/>
        <v>29410</v>
      </c>
      <c r="E22" s="530">
        <f t="shared" si="4"/>
        <v>31634</v>
      </c>
      <c r="F22" s="530">
        <f t="shared" si="5"/>
        <v>33953</v>
      </c>
      <c r="G22" s="530">
        <f>G23+G24</f>
        <v>18455</v>
      </c>
      <c r="H22" s="530">
        <f aca="true" t="shared" si="11" ref="H22:Q22">H23+H24</f>
        <v>15498</v>
      </c>
      <c r="I22" s="530">
        <f t="shared" si="6"/>
        <v>19511</v>
      </c>
      <c r="J22" s="530">
        <f t="shared" si="11"/>
        <v>8497</v>
      </c>
      <c r="K22" s="530">
        <f t="shared" si="11"/>
        <v>11014</v>
      </c>
      <c r="L22" s="530">
        <f t="shared" si="1"/>
        <v>5491</v>
      </c>
      <c r="M22" s="530">
        <f t="shared" si="11"/>
        <v>2185</v>
      </c>
      <c r="N22" s="530">
        <f t="shared" si="11"/>
        <v>3306</v>
      </c>
      <c r="O22" s="530">
        <f t="shared" si="2"/>
        <v>2089</v>
      </c>
      <c r="P22" s="530">
        <f t="shared" si="11"/>
        <v>273</v>
      </c>
      <c r="Q22" s="530">
        <f t="shared" si="11"/>
        <v>1816</v>
      </c>
    </row>
    <row r="23" spans="1:17" s="394" customFormat="1" ht="16.5" customHeight="1">
      <c r="A23" s="751"/>
      <c r="B23" s="400" t="s">
        <v>610</v>
      </c>
      <c r="C23" s="409">
        <f t="shared" si="3"/>
        <v>33539</v>
      </c>
      <c r="D23" s="530">
        <f t="shared" si="4"/>
        <v>16574</v>
      </c>
      <c r="E23" s="530">
        <f t="shared" si="4"/>
        <v>16965</v>
      </c>
      <c r="F23" s="530">
        <f t="shared" si="5"/>
        <v>18774</v>
      </c>
      <c r="G23" s="530">
        <v>10248</v>
      </c>
      <c r="H23" s="530">
        <v>8526</v>
      </c>
      <c r="I23" s="530">
        <f t="shared" si="6"/>
        <v>10810</v>
      </c>
      <c r="J23" s="530">
        <v>4898</v>
      </c>
      <c r="K23" s="530">
        <v>5912</v>
      </c>
      <c r="L23" s="530">
        <f t="shared" si="1"/>
        <v>3104</v>
      </c>
      <c r="M23" s="530">
        <v>1300</v>
      </c>
      <c r="N23" s="530">
        <v>1804</v>
      </c>
      <c r="O23" s="530">
        <f t="shared" si="2"/>
        <v>851</v>
      </c>
      <c r="P23" s="530">
        <v>128</v>
      </c>
      <c r="Q23" s="530">
        <v>723</v>
      </c>
    </row>
    <row r="24" spans="1:17" s="394" customFormat="1" ht="16.5" customHeight="1">
      <c r="A24" s="751"/>
      <c r="B24" s="400" t="s">
        <v>611</v>
      </c>
      <c r="C24" s="409">
        <f t="shared" si="3"/>
        <v>27505</v>
      </c>
      <c r="D24" s="530">
        <f t="shared" si="4"/>
        <v>12836</v>
      </c>
      <c r="E24" s="530">
        <f t="shared" si="4"/>
        <v>14669</v>
      </c>
      <c r="F24" s="530">
        <f t="shared" si="5"/>
        <v>15179</v>
      </c>
      <c r="G24" s="530">
        <v>8207</v>
      </c>
      <c r="H24" s="530">
        <v>6972</v>
      </c>
      <c r="I24" s="530">
        <f t="shared" si="6"/>
        <v>8701</v>
      </c>
      <c r="J24" s="530">
        <v>3599</v>
      </c>
      <c r="K24" s="530">
        <v>5102</v>
      </c>
      <c r="L24" s="530">
        <f t="shared" si="1"/>
        <v>2387</v>
      </c>
      <c r="M24" s="530">
        <v>885</v>
      </c>
      <c r="N24" s="530">
        <v>1502</v>
      </c>
      <c r="O24" s="530">
        <f t="shared" si="2"/>
        <v>1238</v>
      </c>
      <c r="P24" s="530">
        <v>145</v>
      </c>
      <c r="Q24" s="530">
        <v>1093</v>
      </c>
    </row>
    <row r="25" spans="1:17" s="394" customFormat="1" ht="16.5" customHeight="1">
      <c r="A25" s="752" t="s">
        <v>616</v>
      </c>
      <c r="B25" s="400" t="s">
        <v>29</v>
      </c>
      <c r="C25" s="409">
        <f t="shared" si="3"/>
        <v>6094</v>
      </c>
      <c r="D25" s="530">
        <f t="shared" si="4"/>
        <v>2754</v>
      </c>
      <c r="E25" s="530">
        <f t="shared" si="4"/>
        <v>3340</v>
      </c>
      <c r="F25" s="530">
        <f t="shared" si="5"/>
        <v>3448</v>
      </c>
      <c r="G25" s="530">
        <f aca="true" t="shared" si="12" ref="G25:Q25">G26+G27</f>
        <v>1794</v>
      </c>
      <c r="H25" s="530">
        <f t="shared" si="12"/>
        <v>1654</v>
      </c>
      <c r="I25" s="530">
        <f t="shared" si="6"/>
        <v>1955</v>
      </c>
      <c r="J25" s="530">
        <f t="shared" si="12"/>
        <v>777</v>
      </c>
      <c r="K25" s="530">
        <f t="shared" si="12"/>
        <v>1178</v>
      </c>
      <c r="L25" s="530">
        <f t="shared" si="1"/>
        <v>546</v>
      </c>
      <c r="M25" s="530">
        <f t="shared" si="12"/>
        <v>171</v>
      </c>
      <c r="N25" s="530">
        <f t="shared" si="12"/>
        <v>375</v>
      </c>
      <c r="O25" s="530">
        <f t="shared" si="2"/>
        <v>145</v>
      </c>
      <c r="P25" s="530">
        <f t="shared" si="12"/>
        <v>12</v>
      </c>
      <c r="Q25" s="530">
        <f t="shared" si="12"/>
        <v>133</v>
      </c>
    </row>
    <row r="26" spans="1:17" s="394" customFormat="1" ht="16.5" customHeight="1">
      <c r="A26" s="751"/>
      <c r="B26" s="400" t="s">
        <v>610</v>
      </c>
      <c r="C26" s="409">
        <f t="shared" si="3"/>
        <v>4089</v>
      </c>
      <c r="D26" s="530">
        <f t="shared" si="4"/>
        <v>1917</v>
      </c>
      <c r="E26" s="530">
        <f t="shared" si="4"/>
        <v>2172</v>
      </c>
      <c r="F26" s="530">
        <f t="shared" si="5"/>
        <v>2307</v>
      </c>
      <c r="G26" s="530">
        <v>1201</v>
      </c>
      <c r="H26" s="530">
        <v>1106</v>
      </c>
      <c r="I26" s="530">
        <f t="shared" si="6"/>
        <v>1333</v>
      </c>
      <c r="J26" s="530">
        <v>577</v>
      </c>
      <c r="K26" s="530">
        <v>756</v>
      </c>
      <c r="L26" s="530">
        <f t="shared" si="1"/>
        <v>367</v>
      </c>
      <c r="M26" s="530">
        <v>129</v>
      </c>
      <c r="N26" s="530">
        <v>238</v>
      </c>
      <c r="O26" s="530">
        <f t="shared" si="2"/>
        <v>82</v>
      </c>
      <c r="P26" s="530">
        <v>10</v>
      </c>
      <c r="Q26" s="530">
        <v>72</v>
      </c>
    </row>
    <row r="27" spans="1:17" s="394" customFormat="1" ht="16.5" customHeight="1">
      <c r="A27" s="751"/>
      <c r="B27" s="400" t="s">
        <v>611</v>
      </c>
      <c r="C27" s="409">
        <f t="shared" si="3"/>
        <v>2005</v>
      </c>
      <c r="D27" s="530">
        <f t="shared" si="4"/>
        <v>837</v>
      </c>
      <c r="E27" s="530">
        <f t="shared" si="4"/>
        <v>1168</v>
      </c>
      <c r="F27" s="530">
        <f t="shared" si="5"/>
        <v>1141</v>
      </c>
      <c r="G27" s="530">
        <v>593</v>
      </c>
      <c r="H27" s="530">
        <v>548</v>
      </c>
      <c r="I27" s="530">
        <f t="shared" si="6"/>
        <v>622</v>
      </c>
      <c r="J27" s="530">
        <v>200</v>
      </c>
      <c r="K27" s="530">
        <v>422</v>
      </c>
      <c r="L27" s="530">
        <f t="shared" si="1"/>
        <v>179</v>
      </c>
      <c r="M27" s="530">
        <v>42</v>
      </c>
      <c r="N27" s="530">
        <v>137</v>
      </c>
      <c r="O27" s="530">
        <f t="shared" si="2"/>
        <v>63</v>
      </c>
      <c r="P27" s="530">
        <v>2</v>
      </c>
      <c r="Q27" s="530">
        <v>61</v>
      </c>
    </row>
    <row r="28" spans="1:17" s="394" customFormat="1" ht="16.5" customHeight="1">
      <c r="A28" s="752" t="s">
        <v>617</v>
      </c>
      <c r="B28" s="400" t="s">
        <v>29</v>
      </c>
      <c r="C28" s="409">
        <f t="shared" si="3"/>
        <v>7109</v>
      </c>
      <c r="D28" s="530">
        <f t="shared" si="4"/>
        <v>3146</v>
      </c>
      <c r="E28" s="530">
        <f t="shared" si="4"/>
        <v>3963</v>
      </c>
      <c r="F28" s="530">
        <f t="shared" si="5"/>
        <v>4006</v>
      </c>
      <c r="G28" s="530">
        <f aca="true" t="shared" si="13" ref="G28:Q28">G29+G30</f>
        <v>2091</v>
      </c>
      <c r="H28" s="530">
        <f t="shared" si="13"/>
        <v>1915</v>
      </c>
      <c r="I28" s="530">
        <f t="shared" si="6"/>
        <v>2143</v>
      </c>
      <c r="J28" s="530">
        <f t="shared" si="13"/>
        <v>814</v>
      </c>
      <c r="K28" s="530">
        <f t="shared" si="13"/>
        <v>1329</v>
      </c>
      <c r="L28" s="530">
        <f t="shared" si="1"/>
        <v>711</v>
      </c>
      <c r="M28" s="530">
        <f t="shared" si="13"/>
        <v>226</v>
      </c>
      <c r="N28" s="530">
        <f t="shared" si="13"/>
        <v>485</v>
      </c>
      <c r="O28" s="530">
        <f t="shared" si="2"/>
        <v>249</v>
      </c>
      <c r="P28" s="530">
        <f t="shared" si="13"/>
        <v>15</v>
      </c>
      <c r="Q28" s="530">
        <f t="shared" si="13"/>
        <v>234</v>
      </c>
    </row>
    <row r="29" spans="1:17" s="394" customFormat="1" ht="16.5" customHeight="1">
      <c r="A29" s="751"/>
      <c r="B29" s="400" t="s">
        <v>610</v>
      </c>
      <c r="C29" s="409">
        <f t="shared" si="3"/>
        <v>4165</v>
      </c>
      <c r="D29" s="530">
        <f t="shared" si="4"/>
        <v>1933</v>
      </c>
      <c r="E29" s="530">
        <f t="shared" si="4"/>
        <v>2232</v>
      </c>
      <c r="F29" s="530">
        <f t="shared" si="5"/>
        <v>2328</v>
      </c>
      <c r="G29" s="530">
        <v>1219</v>
      </c>
      <c r="H29" s="530">
        <v>1109</v>
      </c>
      <c r="I29" s="530">
        <f t="shared" si="6"/>
        <v>1309</v>
      </c>
      <c r="J29" s="530">
        <v>551</v>
      </c>
      <c r="K29" s="530">
        <v>758</v>
      </c>
      <c r="L29" s="530">
        <f t="shared" si="1"/>
        <v>413</v>
      </c>
      <c r="M29" s="530">
        <v>150</v>
      </c>
      <c r="N29" s="530">
        <v>263</v>
      </c>
      <c r="O29" s="530">
        <f t="shared" si="2"/>
        <v>115</v>
      </c>
      <c r="P29" s="530">
        <v>13</v>
      </c>
      <c r="Q29" s="530">
        <v>102</v>
      </c>
    </row>
    <row r="30" spans="1:17" s="394" customFormat="1" ht="16.5" customHeight="1">
      <c r="A30" s="751"/>
      <c r="B30" s="400" t="s">
        <v>611</v>
      </c>
      <c r="C30" s="409">
        <f t="shared" si="3"/>
        <v>2944</v>
      </c>
      <c r="D30" s="530">
        <f t="shared" si="4"/>
        <v>1213</v>
      </c>
      <c r="E30" s="530">
        <f t="shared" si="4"/>
        <v>1731</v>
      </c>
      <c r="F30" s="530">
        <f t="shared" si="5"/>
        <v>1678</v>
      </c>
      <c r="G30" s="530">
        <v>872</v>
      </c>
      <c r="H30" s="530">
        <v>806</v>
      </c>
      <c r="I30" s="530">
        <f t="shared" si="6"/>
        <v>834</v>
      </c>
      <c r="J30" s="530">
        <v>263</v>
      </c>
      <c r="K30" s="530">
        <v>571</v>
      </c>
      <c r="L30" s="530">
        <f t="shared" si="1"/>
        <v>298</v>
      </c>
      <c r="M30" s="530">
        <v>76</v>
      </c>
      <c r="N30" s="530">
        <v>222</v>
      </c>
      <c r="O30" s="530">
        <f t="shared" si="2"/>
        <v>134</v>
      </c>
      <c r="P30" s="530">
        <v>2</v>
      </c>
      <c r="Q30" s="530">
        <v>132</v>
      </c>
    </row>
    <row r="31" spans="1:17" s="394" customFormat="1" ht="16.5" customHeight="1">
      <c r="A31" s="752" t="s">
        <v>618</v>
      </c>
      <c r="B31" s="400" t="s">
        <v>29</v>
      </c>
      <c r="C31" s="409">
        <f t="shared" si="3"/>
        <v>5534</v>
      </c>
      <c r="D31" s="530">
        <f t="shared" si="4"/>
        <v>2543</v>
      </c>
      <c r="E31" s="530">
        <f t="shared" si="4"/>
        <v>2991</v>
      </c>
      <c r="F31" s="530">
        <f t="shared" si="5"/>
        <v>3174</v>
      </c>
      <c r="G31" s="530">
        <f aca="true" t="shared" si="14" ref="G31:Q31">G32+G33</f>
        <v>1680</v>
      </c>
      <c r="H31" s="530">
        <f t="shared" si="14"/>
        <v>1494</v>
      </c>
      <c r="I31" s="530">
        <f t="shared" si="6"/>
        <v>1653</v>
      </c>
      <c r="J31" s="530">
        <f t="shared" si="14"/>
        <v>652</v>
      </c>
      <c r="K31" s="530">
        <f t="shared" si="14"/>
        <v>1001</v>
      </c>
      <c r="L31" s="530">
        <f t="shared" si="1"/>
        <v>492</v>
      </c>
      <c r="M31" s="530">
        <f t="shared" si="14"/>
        <v>195</v>
      </c>
      <c r="N31" s="530">
        <f t="shared" si="14"/>
        <v>297</v>
      </c>
      <c r="O31" s="530">
        <f t="shared" si="2"/>
        <v>215</v>
      </c>
      <c r="P31" s="530">
        <f t="shared" si="14"/>
        <v>16</v>
      </c>
      <c r="Q31" s="530">
        <f t="shared" si="14"/>
        <v>199</v>
      </c>
    </row>
    <row r="32" spans="1:17" s="394" customFormat="1" ht="16.5" customHeight="1">
      <c r="A32" s="751"/>
      <c r="B32" s="400" t="s">
        <v>610</v>
      </c>
      <c r="C32" s="409">
        <f t="shared" si="3"/>
        <v>3130</v>
      </c>
      <c r="D32" s="530">
        <f t="shared" si="4"/>
        <v>1514</v>
      </c>
      <c r="E32" s="530">
        <f t="shared" si="4"/>
        <v>1616</v>
      </c>
      <c r="F32" s="530">
        <f t="shared" si="5"/>
        <v>1763</v>
      </c>
      <c r="G32" s="530">
        <v>947</v>
      </c>
      <c r="H32" s="530">
        <v>816</v>
      </c>
      <c r="I32" s="530">
        <f t="shared" si="6"/>
        <v>965</v>
      </c>
      <c r="J32" s="530">
        <v>431</v>
      </c>
      <c r="K32" s="530">
        <v>534</v>
      </c>
      <c r="L32" s="530">
        <f t="shared" si="1"/>
        <v>300</v>
      </c>
      <c r="M32" s="530">
        <v>122</v>
      </c>
      <c r="N32" s="530">
        <v>178</v>
      </c>
      <c r="O32" s="530">
        <f t="shared" si="2"/>
        <v>102</v>
      </c>
      <c r="P32" s="530">
        <v>14</v>
      </c>
      <c r="Q32" s="530">
        <v>88</v>
      </c>
    </row>
    <row r="33" spans="1:17" s="394" customFormat="1" ht="16.5" customHeight="1">
      <c r="A33" s="751"/>
      <c r="B33" s="400" t="s">
        <v>611</v>
      </c>
      <c r="C33" s="409">
        <f t="shared" si="3"/>
        <v>2404</v>
      </c>
      <c r="D33" s="530">
        <f t="shared" si="4"/>
        <v>1029</v>
      </c>
      <c r="E33" s="530">
        <f t="shared" si="4"/>
        <v>1375</v>
      </c>
      <c r="F33" s="530">
        <f t="shared" si="5"/>
        <v>1411</v>
      </c>
      <c r="G33" s="530">
        <v>733</v>
      </c>
      <c r="H33" s="530">
        <v>678</v>
      </c>
      <c r="I33" s="530">
        <f t="shared" si="6"/>
        <v>688</v>
      </c>
      <c r="J33" s="530">
        <v>221</v>
      </c>
      <c r="K33" s="530">
        <v>467</v>
      </c>
      <c r="L33" s="530">
        <f t="shared" si="1"/>
        <v>192</v>
      </c>
      <c r="M33" s="530">
        <v>73</v>
      </c>
      <c r="N33" s="530">
        <v>119</v>
      </c>
      <c r="O33" s="530">
        <f t="shared" si="2"/>
        <v>113</v>
      </c>
      <c r="P33" s="530">
        <v>2</v>
      </c>
      <c r="Q33" s="530">
        <v>111</v>
      </c>
    </row>
    <row r="34" spans="1:17" s="394" customFormat="1" ht="16.5" customHeight="1">
      <c r="A34" s="752" t="s">
        <v>619</v>
      </c>
      <c r="B34" s="400" t="s">
        <v>29</v>
      </c>
      <c r="C34" s="409">
        <f t="shared" si="3"/>
        <v>6225</v>
      </c>
      <c r="D34" s="530">
        <f t="shared" si="4"/>
        <v>2949</v>
      </c>
      <c r="E34" s="530">
        <f t="shared" si="4"/>
        <v>3276</v>
      </c>
      <c r="F34" s="530">
        <f t="shared" si="5"/>
        <v>3503</v>
      </c>
      <c r="G34" s="530">
        <f>G35+G36</f>
        <v>1897</v>
      </c>
      <c r="H34" s="530">
        <f aca="true" t="shared" si="15" ref="H34:Q34">H35+H36</f>
        <v>1606</v>
      </c>
      <c r="I34" s="530">
        <f t="shared" si="6"/>
        <v>1922</v>
      </c>
      <c r="J34" s="530">
        <f t="shared" si="15"/>
        <v>799</v>
      </c>
      <c r="K34" s="530">
        <f t="shared" si="15"/>
        <v>1123</v>
      </c>
      <c r="L34" s="530">
        <f t="shared" si="1"/>
        <v>589</v>
      </c>
      <c r="M34" s="530">
        <f t="shared" si="15"/>
        <v>234</v>
      </c>
      <c r="N34" s="530">
        <f t="shared" si="15"/>
        <v>355</v>
      </c>
      <c r="O34" s="530">
        <f t="shared" si="2"/>
        <v>211</v>
      </c>
      <c r="P34" s="530">
        <f t="shared" si="15"/>
        <v>19</v>
      </c>
      <c r="Q34" s="530">
        <f t="shared" si="15"/>
        <v>192</v>
      </c>
    </row>
    <row r="35" spans="1:17" s="394" customFormat="1" ht="16.5" customHeight="1">
      <c r="A35" s="751"/>
      <c r="B35" s="400" t="s">
        <v>610</v>
      </c>
      <c r="C35" s="409">
        <f t="shared" si="3"/>
        <v>4116</v>
      </c>
      <c r="D35" s="530">
        <f t="shared" si="4"/>
        <v>2064</v>
      </c>
      <c r="E35" s="530">
        <f t="shared" si="4"/>
        <v>2052</v>
      </c>
      <c r="F35" s="530">
        <f t="shared" si="5"/>
        <v>2291</v>
      </c>
      <c r="G35" s="530">
        <v>1269</v>
      </c>
      <c r="H35" s="530">
        <v>1022</v>
      </c>
      <c r="I35" s="530">
        <f t="shared" si="6"/>
        <v>1306</v>
      </c>
      <c r="J35" s="530">
        <v>600</v>
      </c>
      <c r="K35" s="530">
        <v>706</v>
      </c>
      <c r="L35" s="530">
        <f t="shared" si="1"/>
        <v>406</v>
      </c>
      <c r="M35" s="530">
        <v>181</v>
      </c>
      <c r="N35" s="530">
        <v>225</v>
      </c>
      <c r="O35" s="530">
        <f t="shared" si="2"/>
        <v>113</v>
      </c>
      <c r="P35" s="530">
        <v>14</v>
      </c>
      <c r="Q35" s="530">
        <v>99</v>
      </c>
    </row>
    <row r="36" spans="1:17" s="394" customFormat="1" ht="16.5" customHeight="1">
      <c r="A36" s="751"/>
      <c r="B36" s="400" t="s">
        <v>611</v>
      </c>
      <c r="C36" s="409">
        <f t="shared" si="3"/>
        <v>2109</v>
      </c>
      <c r="D36" s="530">
        <f t="shared" si="4"/>
        <v>885</v>
      </c>
      <c r="E36" s="530">
        <f t="shared" si="4"/>
        <v>1224</v>
      </c>
      <c r="F36" s="530">
        <f t="shared" si="5"/>
        <v>1212</v>
      </c>
      <c r="G36" s="530">
        <v>628</v>
      </c>
      <c r="H36" s="530">
        <v>584</v>
      </c>
      <c r="I36" s="530">
        <f t="shared" si="6"/>
        <v>616</v>
      </c>
      <c r="J36" s="530">
        <v>199</v>
      </c>
      <c r="K36" s="530">
        <v>417</v>
      </c>
      <c r="L36" s="530">
        <f t="shared" si="1"/>
        <v>183</v>
      </c>
      <c r="M36" s="530">
        <v>53</v>
      </c>
      <c r="N36" s="530">
        <v>130</v>
      </c>
      <c r="O36" s="530">
        <f t="shared" si="2"/>
        <v>98</v>
      </c>
      <c r="P36" s="530">
        <v>5</v>
      </c>
      <c r="Q36" s="530">
        <v>93</v>
      </c>
    </row>
    <row r="37" spans="1:17" s="386" customFormat="1" ht="1.5" customHeight="1" thickBot="1">
      <c r="A37" s="387"/>
      <c r="B37" s="388"/>
      <c r="C37" s="398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</row>
    <row r="38" spans="1:9" s="397" customFormat="1" ht="15" customHeight="1">
      <c r="A38" s="395" t="s">
        <v>605</v>
      </c>
      <c r="B38" s="396"/>
      <c r="I38" s="397" t="s">
        <v>78</v>
      </c>
    </row>
  </sheetData>
  <mergeCells count="19">
    <mergeCell ref="A31:A33"/>
    <mergeCell ref="A34:A36"/>
    <mergeCell ref="A19:A21"/>
    <mergeCell ref="A22:A24"/>
    <mergeCell ref="A25:A27"/>
    <mergeCell ref="A28:A30"/>
    <mergeCell ref="A7:A9"/>
    <mergeCell ref="A10:A12"/>
    <mergeCell ref="A13:A15"/>
    <mergeCell ref="A16:A18"/>
    <mergeCell ref="O4:Q5"/>
    <mergeCell ref="A2:H2"/>
    <mergeCell ref="A4:A5"/>
    <mergeCell ref="B4:B5"/>
    <mergeCell ref="C4:E5"/>
    <mergeCell ref="F4:H5"/>
    <mergeCell ref="I4:K5"/>
    <mergeCell ref="L4:N5"/>
    <mergeCell ref="I2:Q2"/>
  </mergeCells>
  <printOptions horizontalCentered="1"/>
  <pageMargins left="1.1811023622047245" right="1.1811023622047245" top="1.5748031496062993" bottom="1.5748031496062993" header="0.5118110236220472" footer="0.9055118110236221"/>
  <pageSetup firstPageNumber="6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120" zoomScaleNormal="120" workbookViewId="0" topLeftCell="A1">
      <selection activeCell="A3" sqref="A3"/>
    </sheetView>
  </sheetViews>
  <sheetFormatPr defaultColWidth="9.00390625" defaultRowHeight="16.5"/>
  <cols>
    <col min="1" max="1" width="14.125" style="389" customWidth="1"/>
    <col min="2" max="2" width="16.625" style="389" customWidth="1"/>
    <col min="3" max="8" width="7.375" style="389" customWidth="1"/>
    <col min="9" max="9" width="8.375" style="389" customWidth="1"/>
    <col min="10" max="11" width="8.125" style="389" customWidth="1"/>
    <col min="12" max="12" width="8.375" style="389" customWidth="1"/>
    <col min="13" max="14" width="8.125" style="389" customWidth="1"/>
    <col min="15" max="15" width="8.375" style="389" customWidth="1"/>
    <col min="16" max="17" width="8.125" style="389" customWidth="1"/>
    <col min="18" max="16384" width="9.00390625" style="389" customWidth="1"/>
  </cols>
  <sheetData>
    <row r="1" spans="1:17" s="337" customFormat="1" ht="18" customHeight="1">
      <c r="A1" s="378" t="s">
        <v>131</v>
      </c>
      <c r="B1" s="335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8" t="s">
        <v>392</v>
      </c>
    </row>
    <row r="2" spans="1:17" s="401" customFormat="1" ht="24.75" customHeight="1">
      <c r="A2" s="733" t="s">
        <v>645</v>
      </c>
      <c r="B2" s="732"/>
      <c r="C2" s="732"/>
      <c r="D2" s="732"/>
      <c r="E2" s="732"/>
      <c r="F2" s="732"/>
      <c r="G2" s="732"/>
      <c r="H2" s="732"/>
      <c r="I2" s="732" t="s">
        <v>646</v>
      </c>
      <c r="J2" s="732"/>
      <c r="K2" s="732"/>
      <c r="L2" s="732"/>
      <c r="M2" s="732"/>
      <c r="N2" s="732"/>
      <c r="O2" s="732"/>
      <c r="P2" s="732"/>
      <c r="Q2" s="732"/>
    </row>
    <row r="3" spans="2:17" s="352" customFormat="1" ht="15.75" customHeight="1" thickBot="1">
      <c r="B3" s="402"/>
      <c r="C3" s="403"/>
      <c r="D3" s="403"/>
      <c r="E3" s="403"/>
      <c r="F3" s="403"/>
      <c r="G3" s="404"/>
      <c r="H3" s="384" t="s">
        <v>132</v>
      </c>
      <c r="I3" s="405"/>
      <c r="J3" s="406" t="s">
        <v>626</v>
      </c>
      <c r="K3" s="407"/>
      <c r="L3" s="407"/>
      <c r="M3" s="402"/>
      <c r="N3" s="407"/>
      <c r="O3" s="407"/>
      <c r="P3" s="402"/>
      <c r="Q3" s="55" t="s">
        <v>393</v>
      </c>
    </row>
    <row r="4" spans="1:17" s="352" customFormat="1" ht="18" customHeight="1">
      <c r="A4" s="745" t="s">
        <v>627</v>
      </c>
      <c r="B4" s="747" t="s">
        <v>628</v>
      </c>
      <c r="C4" s="739" t="s">
        <v>629</v>
      </c>
      <c r="D4" s="740"/>
      <c r="E4" s="741"/>
      <c r="F4" s="739" t="s">
        <v>630</v>
      </c>
      <c r="G4" s="740"/>
      <c r="H4" s="741"/>
      <c r="I4" s="749" t="s">
        <v>631</v>
      </c>
      <c r="J4" s="740"/>
      <c r="K4" s="741"/>
      <c r="L4" s="739" t="s">
        <v>632</v>
      </c>
      <c r="M4" s="740"/>
      <c r="N4" s="741"/>
      <c r="O4" s="739" t="s">
        <v>633</v>
      </c>
      <c r="P4" s="740"/>
      <c r="Q4" s="740"/>
    </row>
    <row r="5" spans="1:17" s="352" customFormat="1" ht="18" customHeight="1">
      <c r="A5" s="746"/>
      <c r="B5" s="748"/>
      <c r="C5" s="742"/>
      <c r="D5" s="743"/>
      <c r="E5" s="744"/>
      <c r="F5" s="742"/>
      <c r="G5" s="743"/>
      <c r="H5" s="744"/>
      <c r="I5" s="743"/>
      <c r="J5" s="743"/>
      <c r="K5" s="744"/>
      <c r="L5" s="742"/>
      <c r="M5" s="743"/>
      <c r="N5" s="744"/>
      <c r="O5" s="742"/>
      <c r="P5" s="743"/>
      <c r="Q5" s="743"/>
    </row>
    <row r="6" spans="1:17" s="352" customFormat="1" ht="31.5" customHeight="1" thickBot="1">
      <c r="A6" s="385" t="s">
        <v>634</v>
      </c>
      <c r="B6" s="390" t="s">
        <v>635</v>
      </c>
      <c r="C6" s="552" t="s">
        <v>34</v>
      </c>
      <c r="D6" s="552" t="s">
        <v>35</v>
      </c>
      <c r="E6" s="552" t="s">
        <v>10</v>
      </c>
      <c r="F6" s="552" t="s">
        <v>36</v>
      </c>
      <c r="G6" s="552" t="s">
        <v>35</v>
      </c>
      <c r="H6" s="553" t="s">
        <v>10</v>
      </c>
      <c r="I6" s="554" t="s">
        <v>36</v>
      </c>
      <c r="J6" s="552" t="s">
        <v>35</v>
      </c>
      <c r="K6" s="553" t="s">
        <v>10</v>
      </c>
      <c r="L6" s="552" t="s">
        <v>37</v>
      </c>
      <c r="M6" s="552" t="s">
        <v>35</v>
      </c>
      <c r="N6" s="553" t="s">
        <v>10</v>
      </c>
      <c r="O6" s="552" t="s">
        <v>37</v>
      </c>
      <c r="P6" s="552" t="s">
        <v>35</v>
      </c>
      <c r="Q6" s="552" t="s">
        <v>10</v>
      </c>
    </row>
    <row r="7" spans="1:17" s="394" customFormat="1" ht="18.75" customHeight="1">
      <c r="A7" s="750" t="s">
        <v>636</v>
      </c>
      <c r="B7" s="399" t="s">
        <v>29</v>
      </c>
      <c r="C7" s="408">
        <f>D7+E7</f>
        <v>3348</v>
      </c>
      <c r="D7" s="529">
        <f aca="true" t="shared" si="0" ref="D7:E33">G7+J7+M7+P7</f>
        <v>1577</v>
      </c>
      <c r="E7" s="529">
        <f t="shared" si="0"/>
        <v>1771</v>
      </c>
      <c r="F7" s="529">
        <f aca="true" t="shared" si="1" ref="F7:F33">G7+H7</f>
        <v>1944</v>
      </c>
      <c r="G7" s="529">
        <f aca="true" t="shared" si="2" ref="G7:Q7">G8+G9</f>
        <v>1033</v>
      </c>
      <c r="H7" s="529">
        <f t="shared" si="2"/>
        <v>911</v>
      </c>
      <c r="I7" s="529">
        <f aca="true" t="shared" si="3" ref="I7:I33">J7+K7</f>
        <v>1018</v>
      </c>
      <c r="J7" s="529">
        <f t="shared" si="2"/>
        <v>412</v>
      </c>
      <c r="K7" s="529">
        <f t="shared" si="2"/>
        <v>606</v>
      </c>
      <c r="L7" s="529">
        <f aca="true" t="shared" si="4" ref="L7:L33">M7+N7</f>
        <v>302</v>
      </c>
      <c r="M7" s="529">
        <f t="shared" si="2"/>
        <v>117</v>
      </c>
      <c r="N7" s="529">
        <f t="shared" si="2"/>
        <v>185</v>
      </c>
      <c r="O7" s="529">
        <f aca="true" t="shared" si="5" ref="O7:O33">P7+Q7</f>
        <v>84</v>
      </c>
      <c r="P7" s="529">
        <f t="shared" si="2"/>
        <v>15</v>
      </c>
      <c r="Q7" s="529">
        <f t="shared" si="2"/>
        <v>69</v>
      </c>
    </row>
    <row r="8" spans="1:17" s="394" customFormat="1" ht="18.75" customHeight="1">
      <c r="A8" s="751"/>
      <c r="B8" s="400" t="s">
        <v>610</v>
      </c>
      <c r="C8" s="409">
        <f aca="true" t="shared" si="6" ref="C8:C33">D8+E8</f>
        <v>2021</v>
      </c>
      <c r="D8" s="530">
        <f t="shared" si="0"/>
        <v>986</v>
      </c>
      <c r="E8" s="530">
        <f t="shared" si="0"/>
        <v>1035</v>
      </c>
      <c r="F8" s="530">
        <f t="shared" si="1"/>
        <v>1167</v>
      </c>
      <c r="G8" s="530">
        <v>632</v>
      </c>
      <c r="H8" s="530">
        <v>535</v>
      </c>
      <c r="I8" s="530">
        <f t="shared" si="3"/>
        <v>596</v>
      </c>
      <c r="J8" s="530">
        <v>254</v>
      </c>
      <c r="K8" s="530">
        <v>342</v>
      </c>
      <c r="L8" s="530">
        <f t="shared" si="4"/>
        <v>211</v>
      </c>
      <c r="M8" s="530">
        <v>90</v>
      </c>
      <c r="N8" s="530">
        <v>121</v>
      </c>
      <c r="O8" s="530">
        <f t="shared" si="5"/>
        <v>47</v>
      </c>
      <c r="P8" s="530">
        <v>10</v>
      </c>
      <c r="Q8" s="530">
        <v>37</v>
      </c>
    </row>
    <row r="9" spans="1:17" s="394" customFormat="1" ht="18.75" customHeight="1">
      <c r="A9" s="751"/>
      <c r="B9" s="400" t="s">
        <v>608</v>
      </c>
      <c r="C9" s="409">
        <f t="shared" si="6"/>
        <v>1327</v>
      </c>
      <c r="D9" s="530">
        <f t="shared" si="0"/>
        <v>591</v>
      </c>
      <c r="E9" s="530">
        <f t="shared" si="0"/>
        <v>736</v>
      </c>
      <c r="F9" s="530">
        <f t="shared" si="1"/>
        <v>777</v>
      </c>
      <c r="G9" s="530">
        <v>401</v>
      </c>
      <c r="H9" s="530">
        <v>376</v>
      </c>
      <c r="I9" s="530">
        <f t="shared" si="3"/>
        <v>422</v>
      </c>
      <c r="J9" s="530">
        <v>158</v>
      </c>
      <c r="K9" s="530">
        <v>264</v>
      </c>
      <c r="L9" s="530">
        <f t="shared" si="4"/>
        <v>91</v>
      </c>
      <c r="M9" s="530">
        <v>27</v>
      </c>
      <c r="N9" s="530">
        <v>64</v>
      </c>
      <c r="O9" s="530">
        <f t="shared" si="5"/>
        <v>37</v>
      </c>
      <c r="P9" s="530">
        <v>5</v>
      </c>
      <c r="Q9" s="530">
        <v>32</v>
      </c>
    </row>
    <row r="10" spans="1:17" s="394" customFormat="1" ht="18.75" customHeight="1">
      <c r="A10" s="752" t="s">
        <v>637</v>
      </c>
      <c r="B10" s="400" t="s">
        <v>29</v>
      </c>
      <c r="C10" s="409">
        <f t="shared" si="6"/>
        <v>6956</v>
      </c>
      <c r="D10" s="530">
        <f t="shared" si="0"/>
        <v>3326</v>
      </c>
      <c r="E10" s="530">
        <f t="shared" si="0"/>
        <v>3630</v>
      </c>
      <c r="F10" s="530">
        <f t="shared" si="1"/>
        <v>3969</v>
      </c>
      <c r="G10" s="530">
        <f aca="true" t="shared" si="7" ref="G10:Q10">G11+G12</f>
        <v>2152</v>
      </c>
      <c r="H10" s="530">
        <f t="shared" si="7"/>
        <v>1817</v>
      </c>
      <c r="I10" s="530">
        <f t="shared" si="3"/>
        <v>2173</v>
      </c>
      <c r="J10" s="530">
        <f t="shared" si="7"/>
        <v>911</v>
      </c>
      <c r="K10" s="530">
        <f t="shared" si="7"/>
        <v>1262</v>
      </c>
      <c r="L10" s="530">
        <f t="shared" si="4"/>
        <v>575</v>
      </c>
      <c r="M10" s="530">
        <f t="shared" si="7"/>
        <v>234</v>
      </c>
      <c r="N10" s="530">
        <f t="shared" si="7"/>
        <v>341</v>
      </c>
      <c r="O10" s="530">
        <f t="shared" si="5"/>
        <v>239</v>
      </c>
      <c r="P10" s="530">
        <f t="shared" si="7"/>
        <v>29</v>
      </c>
      <c r="Q10" s="530">
        <f t="shared" si="7"/>
        <v>210</v>
      </c>
    </row>
    <row r="11" spans="1:17" s="394" customFormat="1" ht="18.75" customHeight="1">
      <c r="A11" s="751"/>
      <c r="B11" s="400" t="s">
        <v>610</v>
      </c>
      <c r="C11" s="409">
        <f t="shared" si="6"/>
        <v>3447</v>
      </c>
      <c r="D11" s="530">
        <f t="shared" si="0"/>
        <v>1761</v>
      </c>
      <c r="E11" s="530">
        <f t="shared" si="0"/>
        <v>1686</v>
      </c>
      <c r="F11" s="530">
        <f t="shared" si="1"/>
        <v>1881</v>
      </c>
      <c r="G11" s="530">
        <v>1044</v>
      </c>
      <c r="H11" s="530">
        <v>837</v>
      </c>
      <c r="I11" s="530">
        <f t="shared" si="3"/>
        <v>1148</v>
      </c>
      <c r="J11" s="530">
        <v>558</v>
      </c>
      <c r="K11" s="530">
        <v>590</v>
      </c>
      <c r="L11" s="530">
        <f t="shared" si="4"/>
        <v>296</v>
      </c>
      <c r="M11" s="530">
        <v>142</v>
      </c>
      <c r="N11" s="530">
        <v>154</v>
      </c>
      <c r="O11" s="530">
        <f t="shared" si="5"/>
        <v>122</v>
      </c>
      <c r="P11" s="530">
        <v>17</v>
      </c>
      <c r="Q11" s="530">
        <v>105</v>
      </c>
    </row>
    <row r="12" spans="1:17" s="394" customFormat="1" ht="18.75" customHeight="1">
      <c r="A12" s="751"/>
      <c r="B12" s="400" t="s">
        <v>611</v>
      </c>
      <c r="C12" s="409">
        <f t="shared" si="6"/>
        <v>3509</v>
      </c>
      <c r="D12" s="530">
        <f t="shared" si="0"/>
        <v>1565</v>
      </c>
      <c r="E12" s="530">
        <f t="shared" si="0"/>
        <v>1944</v>
      </c>
      <c r="F12" s="530">
        <f t="shared" si="1"/>
        <v>2088</v>
      </c>
      <c r="G12" s="530">
        <v>1108</v>
      </c>
      <c r="H12" s="530">
        <v>980</v>
      </c>
      <c r="I12" s="530">
        <f t="shared" si="3"/>
        <v>1025</v>
      </c>
      <c r="J12" s="530">
        <v>353</v>
      </c>
      <c r="K12" s="530">
        <v>672</v>
      </c>
      <c r="L12" s="530">
        <f t="shared" si="4"/>
        <v>279</v>
      </c>
      <c r="M12" s="530">
        <v>92</v>
      </c>
      <c r="N12" s="530">
        <v>187</v>
      </c>
      <c r="O12" s="530">
        <f t="shared" si="5"/>
        <v>117</v>
      </c>
      <c r="P12" s="530">
        <v>12</v>
      </c>
      <c r="Q12" s="530">
        <v>105</v>
      </c>
    </row>
    <row r="13" spans="1:17" s="394" customFormat="1" ht="18.75" customHeight="1">
      <c r="A13" s="752" t="s">
        <v>638</v>
      </c>
      <c r="B13" s="400" t="s">
        <v>29</v>
      </c>
      <c r="C13" s="409">
        <f t="shared" si="6"/>
        <v>3847</v>
      </c>
      <c r="D13" s="530">
        <f t="shared" si="0"/>
        <v>1895</v>
      </c>
      <c r="E13" s="530">
        <f t="shared" si="0"/>
        <v>1952</v>
      </c>
      <c r="F13" s="530">
        <f t="shared" si="1"/>
        <v>2156</v>
      </c>
      <c r="G13" s="530">
        <f aca="true" t="shared" si="8" ref="G13:Q13">G14+G15</f>
        <v>1198</v>
      </c>
      <c r="H13" s="530">
        <f t="shared" si="8"/>
        <v>958</v>
      </c>
      <c r="I13" s="530">
        <f t="shared" si="3"/>
        <v>1285</v>
      </c>
      <c r="J13" s="530">
        <f t="shared" si="8"/>
        <v>560</v>
      </c>
      <c r="K13" s="530">
        <f t="shared" si="8"/>
        <v>725</v>
      </c>
      <c r="L13" s="530">
        <f t="shared" si="4"/>
        <v>345</v>
      </c>
      <c r="M13" s="530">
        <f t="shared" si="8"/>
        <v>127</v>
      </c>
      <c r="N13" s="530">
        <f t="shared" si="8"/>
        <v>218</v>
      </c>
      <c r="O13" s="530">
        <f t="shared" si="5"/>
        <v>61</v>
      </c>
      <c r="P13" s="530">
        <f t="shared" si="8"/>
        <v>10</v>
      </c>
      <c r="Q13" s="530">
        <f t="shared" si="8"/>
        <v>51</v>
      </c>
    </row>
    <row r="14" spans="1:17" s="394" customFormat="1" ht="18.75" customHeight="1">
      <c r="A14" s="751"/>
      <c r="B14" s="400" t="s">
        <v>610</v>
      </c>
      <c r="C14" s="409">
        <f t="shared" si="6"/>
        <v>2754</v>
      </c>
      <c r="D14" s="530">
        <f t="shared" si="0"/>
        <v>1383</v>
      </c>
      <c r="E14" s="530">
        <f t="shared" si="0"/>
        <v>1371</v>
      </c>
      <c r="F14" s="530">
        <f t="shared" si="1"/>
        <v>1495</v>
      </c>
      <c r="G14" s="530">
        <v>842</v>
      </c>
      <c r="H14" s="530">
        <v>653</v>
      </c>
      <c r="I14" s="530">
        <f t="shared" si="3"/>
        <v>939</v>
      </c>
      <c r="J14" s="530">
        <v>422</v>
      </c>
      <c r="K14" s="530">
        <v>517</v>
      </c>
      <c r="L14" s="530">
        <f t="shared" si="4"/>
        <v>277</v>
      </c>
      <c r="M14" s="530">
        <v>110</v>
      </c>
      <c r="N14" s="530">
        <v>167</v>
      </c>
      <c r="O14" s="530">
        <f t="shared" si="5"/>
        <v>43</v>
      </c>
      <c r="P14" s="530">
        <v>9</v>
      </c>
      <c r="Q14" s="530">
        <v>34</v>
      </c>
    </row>
    <row r="15" spans="1:17" s="394" customFormat="1" ht="18.75" customHeight="1">
      <c r="A15" s="751"/>
      <c r="B15" s="400" t="s">
        <v>611</v>
      </c>
      <c r="C15" s="409">
        <f t="shared" si="6"/>
        <v>1093</v>
      </c>
      <c r="D15" s="530">
        <f t="shared" si="0"/>
        <v>512</v>
      </c>
      <c r="E15" s="530">
        <f t="shared" si="0"/>
        <v>581</v>
      </c>
      <c r="F15" s="530">
        <f t="shared" si="1"/>
        <v>661</v>
      </c>
      <c r="G15" s="530">
        <v>356</v>
      </c>
      <c r="H15" s="530">
        <v>305</v>
      </c>
      <c r="I15" s="530">
        <f t="shared" si="3"/>
        <v>346</v>
      </c>
      <c r="J15" s="530">
        <v>138</v>
      </c>
      <c r="K15" s="530">
        <v>208</v>
      </c>
      <c r="L15" s="530">
        <f t="shared" si="4"/>
        <v>68</v>
      </c>
      <c r="M15" s="530">
        <v>17</v>
      </c>
      <c r="N15" s="530">
        <v>51</v>
      </c>
      <c r="O15" s="530">
        <f t="shared" si="5"/>
        <v>18</v>
      </c>
      <c r="P15" s="530">
        <v>1</v>
      </c>
      <c r="Q15" s="530">
        <v>17</v>
      </c>
    </row>
    <row r="16" spans="1:17" s="394" customFormat="1" ht="18.75" customHeight="1">
      <c r="A16" s="752" t="s">
        <v>639</v>
      </c>
      <c r="B16" s="400" t="s">
        <v>29</v>
      </c>
      <c r="C16" s="409">
        <f t="shared" si="6"/>
        <v>3165</v>
      </c>
      <c r="D16" s="530">
        <f t="shared" si="0"/>
        <v>1638</v>
      </c>
      <c r="E16" s="530">
        <f t="shared" si="0"/>
        <v>1527</v>
      </c>
      <c r="F16" s="530">
        <f t="shared" si="1"/>
        <v>1785</v>
      </c>
      <c r="G16" s="530">
        <f aca="true" t="shared" si="9" ref="G16:Q16">G17+G18</f>
        <v>1024</v>
      </c>
      <c r="H16" s="530">
        <f t="shared" si="9"/>
        <v>761</v>
      </c>
      <c r="I16" s="530">
        <f t="shared" si="3"/>
        <v>1045</v>
      </c>
      <c r="J16" s="530">
        <f t="shared" si="9"/>
        <v>474</v>
      </c>
      <c r="K16" s="530">
        <f t="shared" si="9"/>
        <v>571</v>
      </c>
      <c r="L16" s="530">
        <f t="shared" si="4"/>
        <v>274</v>
      </c>
      <c r="M16" s="530">
        <f t="shared" si="9"/>
        <v>126</v>
      </c>
      <c r="N16" s="530">
        <f t="shared" si="9"/>
        <v>148</v>
      </c>
      <c r="O16" s="530">
        <f t="shared" si="5"/>
        <v>61</v>
      </c>
      <c r="P16" s="530">
        <f t="shared" si="9"/>
        <v>14</v>
      </c>
      <c r="Q16" s="530">
        <f t="shared" si="9"/>
        <v>47</v>
      </c>
    </row>
    <row r="17" spans="1:17" s="394" customFormat="1" ht="18.75" customHeight="1">
      <c r="A17" s="751"/>
      <c r="B17" s="400" t="s">
        <v>610</v>
      </c>
      <c r="C17" s="409">
        <f t="shared" si="6"/>
        <v>2466</v>
      </c>
      <c r="D17" s="530">
        <f t="shared" si="0"/>
        <v>1293</v>
      </c>
      <c r="E17" s="530">
        <f t="shared" si="0"/>
        <v>1173</v>
      </c>
      <c r="F17" s="530">
        <f t="shared" si="1"/>
        <v>1376</v>
      </c>
      <c r="G17" s="530">
        <v>785</v>
      </c>
      <c r="H17" s="530">
        <v>591</v>
      </c>
      <c r="I17" s="530">
        <f t="shared" si="3"/>
        <v>821</v>
      </c>
      <c r="J17" s="530">
        <v>390</v>
      </c>
      <c r="K17" s="530">
        <v>431</v>
      </c>
      <c r="L17" s="530">
        <f t="shared" si="4"/>
        <v>217</v>
      </c>
      <c r="M17" s="530">
        <v>106</v>
      </c>
      <c r="N17" s="530">
        <v>111</v>
      </c>
      <c r="O17" s="530">
        <f t="shared" si="5"/>
        <v>52</v>
      </c>
      <c r="P17" s="530">
        <v>12</v>
      </c>
      <c r="Q17" s="530">
        <v>40</v>
      </c>
    </row>
    <row r="18" spans="1:17" s="394" customFormat="1" ht="18.75" customHeight="1">
      <c r="A18" s="751"/>
      <c r="B18" s="400" t="s">
        <v>611</v>
      </c>
      <c r="C18" s="409">
        <f t="shared" si="6"/>
        <v>699</v>
      </c>
      <c r="D18" s="530">
        <f t="shared" si="0"/>
        <v>345</v>
      </c>
      <c r="E18" s="530">
        <f t="shared" si="0"/>
        <v>354</v>
      </c>
      <c r="F18" s="530">
        <f t="shared" si="1"/>
        <v>409</v>
      </c>
      <c r="G18" s="530">
        <v>239</v>
      </c>
      <c r="H18" s="530">
        <v>170</v>
      </c>
      <c r="I18" s="530">
        <f t="shared" si="3"/>
        <v>224</v>
      </c>
      <c r="J18" s="530">
        <v>84</v>
      </c>
      <c r="K18" s="530">
        <v>140</v>
      </c>
      <c r="L18" s="530">
        <f t="shared" si="4"/>
        <v>57</v>
      </c>
      <c r="M18" s="530">
        <v>20</v>
      </c>
      <c r="N18" s="530">
        <v>37</v>
      </c>
      <c r="O18" s="530">
        <f t="shared" si="5"/>
        <v>9</v>
      </c>
      <c r="P18" s="530">
        <v>2</v>
      </c>
      <c r="Q18" s="530">
        <v>7</v>
      </c>
    </row>
    <row r="19" spans="1:17" s="394" customFormat="1" ht="18.75" customHeight="1">
      <c r="A19" s="752" t="s">
        <v>640</v>
      </c>
      <c r="B19" s="400" t="s">
        <v>29</v>
      </c>
      <c r="C19" s="409">
        <f t="shared" si="6"/>
        <v>6074</v>
      </c>
      <c r="D19" s="530">
        <f t="shared" si="0"/>
        <v>2945</v>
      </c>
      <c r="E19" s="530">
        <f t="shared" si="0"/>
        <v>3129</v>
      </c>
      <c r="F19" s="530">
        <f t="shared" si="1"/>
        <v>3510</v>
      </c>
      <c r="G19" s="530">
        <f aca="true" t="shared" si="10" ref="G19:Q19">G20+G21</f>
        <v>1893</v>
      </c>
      <c r="H19" s="530">
        <f t="shared" si="10"/>
        <v>1617</v>
      </c>
      <c r="I19" s="530">
        <f t="shared" si="3"/>
        <v>1914</v>
      </c>
      <c r="J19" s="530">
        <f t="shared" si="10"/>
        <v>838</v>
      </c>
      <c r="K19" s="530">
        <f t="shared" si="10"/>
        <v>1076</v>
      </c>
      <c r="L19" s="530">
        <f t="shared" si="4"/>
        <v>503</v>
      </c>
      <c r="M19" s="530">
        <f t="shared" si="10"/>
        <v>195</v>
      </c>
      <c r="N19" s="530">
        <f t="shared" si="10"/>
        <v>308</v>
      </c>
      <c r="O19" s="530">
        <f t="shared" si="5"/>
        <v>147</v>
      </c>
      <c r="P19" s="530">
        <f t="shared" si="10"/>
        <v>19</v>
      </c>
      <c r="Q19" s="530">
        <f t="shared" si="10"/>
        <v>128</v>
      </c>
    </row>
    <row r="20" spans="1:17" s="394" customFormat="1" ht="18.75" customHeight="1">
      <c r="A20" s="751"/>
      <c r="B20" s="400" t="s">
        <v>610</v>
      </c>
      <c r="C20" s="409">
        <f t="shared" si="6"/>
        <v>4565</v>
      </c>
      <c r="D20" s="530">
        <f t="shared" si="0"/>
        <v>2316</v>
      </c>
      <c r="E20" s="530">
        <f t="shared" si="0"/>
        <v>2249</v>
      </c>
      <c r="F20" s="530">
        <f t="shared" si="1"/>
        <v>2635</v>
      </c>
      <c r="G20" s="530">
        <v>1441</v>
      </c>
      <c r="H20" s="530">
        <v>1194</v>
      </c>
      <c r="I20" s="530">
        <f t="shared" si="3"/>
        <v>1454</v>
      </c>
      <c r="J20" s="530">
        <v>697</v>
      </c>
      <c r="K20" s="530">
        <v>757</v>
      </c>
      <c r="L20" s="530">
        <f t="shared" si="4"/>
        <v>386</v>
      </c>
      <c r="M20" s="530">
        <v>162</v>
      </c>
      <c r="N20" s="530">
        <v>224</v>
      </c>
      <c r="O20" s="530">
        <f t="shared" si="5"/>
        <v>90</v>
      </c>
      <c r="P20" s="530">
        <v>16</v>
      </c>
      <c r="Q20" s="530">
        <v>74</v>
      </c>
    </row>
    <row r="21" spans="1:17" s="394" customFormat="1" ht="18.75" customHeight="1">
      <c r="A21" s="751"/>
      <c r="B21" s="400" t="s">
        <v>611</v>
      </c>
      <c r="C21" s="409">
        <f t="shared" si="6"/>
        <v>1509</v>
      </c>
      <c r="D21" s="530">
        <f t="shared" si="0"/>
        <v>629</v>
      </c>
      <c r="E21" s="530">
        <f t="shared" si="0"/>
        <v>880</v>
      </c>
      <c r="F21" s="530">
        <f t="shared" si="1"/>
        <v>875</v>
      </c>
      <c r="G21" s="530">
        <v>452</v>
      </c>
      <c r="H21" s="530">
        <v>423</v>
      </c>
      <c r="I21" s="530">
        <f t="shared" si="3"/>
        <v>460</v>
      </c>
      <c r="J21" s="530">
        <v>141</v>
      </c>
      <c r="K21" s="530">
        <v>319</v>
      </c>
      <c r="L21" s="530">
        <f t="shared" si="4"/>
        <v>117</v>
      </c>
      <c r="M21" s="530">
        <v>33</v>
      </c>
      <c r="N21" s="530">
        <v>84</v>
      </c>
      <c r="O21" s="530">
        <f t="shared" si="5"/>
        <v>57</v>
      </c>
      <c r="P21" s="530">
        <v>3</v>
      </c>
      <c r="Q21" s="530">
        <v>54</v>
      </c>
    </row>
    <row r="22" spans="1:17" s="394" customFormat="1" ht="18.75" customHeight="1">
      <c r="A22" s="752" t="s">
        <v>641</v>
      </c>
      <c r="B22" s="400" t="s">
        <v>29</v>
      </c>
      <c r="C22" s="409">
        <f t="shared" si="6"/>
        <v>3372</v>
      </c>
      <c r="D22" s="530">
        <f t="shared" si="0"/>
        <v>1592</v>
      </c>
      <c r="E22" s="530">
        <f t="shared" si="0"/>
        <v>1780</v>
      </c>
      <c r="F22" s="530">
        <f t="shared" si="1"/>
        <v>1914</v>
      </c>
      <c r="G22" s="530">
        <f>G23+G24</f>
        <v>1054</v>
      </c>
      <c r="H22" s="530">
        <f aca="true" t="shared" si="11" ref="H22:Q22">H23+H24</f>
        <v>860</v>
      </c>
      <c r="I22" s="530">
        <f t="shared" si="3"/>
        <v>1014</v>
      </c>
      <c r="J22" s="530">
        <f t="shared" si="11"/>
        <v>413</v>
      </c>
      <c r="K22" s="530">
        <f t="shared" si="11"/>
        <v>601</v>
      </c>
      <c r="L22" s="530">
        <f t="shared" si="4"/>
        <v>299</v>
      </c>
      <c r="M22" s="530">
        <f t="shared" si="11"/>
        <v>113</v>
      </c>
      <c r="N22" s="530">
        <f t="shared" si="11"/>
        <v>186</v>
      </c>
      <c r="O22" s="530">
        <f t="shared" si="5"/>
        <v>145</v>
      </c>
      <c r="P22" s="530">
        <f t="shared" si="11"/>
        <v>12</v>
      </c>
      <c r="Q22" s="530">
        <f t="shared" si="11"/>
        <v>133</v>
      </c>
    </row>
    <row r="23" spans="1:17" s="394" customFormat="1" ht="18.75" customHeight="1">
      <c r="A23" s="751"/>
      <c r="B23" s="400" t="s">
        <v>610</v>
      </c>
      <c r="C23" s="409">
        <f t="shared" si="6"/>
        <v>1631</v>
      </c>
      <c r="D23" s="530">
        <f t="shared" si="0"/>
        <v>840</v>
      </c>
      <c r="E23" s="530">
        <f t="shared" si="0"/>
        <v>791</v>
      </c>
      <c r="F23" s="530">
        <f t="shared" si="1"/>
        <v>890</v>
      </c>
      <c r="G23" s="530">
        <v>517</v>
      </c>
      <c r="H23" s="530">
        <v>373</v>
      </c>
      <c r="I23" s="530">
        <f t="shared" si="3"/>
        <v>536</v>
      </c>
      <c r="J23" s="530">
        <v>246</v>
      </c>
      <c r="K23" s="530">
        <v>290</v>
      </c>
      <c r="L23" s="530">
        <f t="shared" si="4"/>
        <v>147</v>
      </c>
      <c r="M23" s="530">
        <v>69</v>
      </c>
      <c r="N23" s="530">
        <v>78</v>
      </c>
      <c r="O23" s="530">
        <f t="shared" si="5"/>
        <v>58</v>
      </c>
      <c r="P23" s="530">
        <v>8</v>
      </c>
      <c r="Q23" s="530">
        <v>50</v>
      </c>
    </row>
    <row r="24" spans="1:17" s="394" customFormat="1" ht="18.75" customHeight="1">
      <c r="A24" s="751"/>
      <c r="B24" s="400" t="s">
        <v>611</v>
      </c>
      <c r="C24" s="409">
        <f t="shared" si="6"/>
        <v>1741</v>
      </c>
      <c r="D24" s="530">
        <f t="shared" si="0"/>
        <v>752</v>
      </c>
      <c r="E24" s="530">
        <f t="shared" si="0"/>
        <v>989</v>
      </c>
      <c r="F24" s="530">
        <f t="shared" si="1"/>
        <v>1024</v>
      </c>
      <c r="G24" s="530">
        <v>537</v>
      </c>
      <c r="H24" s="530">
        <v>487</v>
      </c>
      <c r="I24" s="530">
        <f t="shared" si="3"/>
        <v>478</v>
      </c>
      <c r="J24" s="530">
        <v>167</v>
      </c>
      <c r="K24" s="530">
        <v>311</v>
      </c>
      <c r="L24" s="530">
        <f t="shared" si="4"/>
        <v>152</v>
      </c>
      <c r="M24" s="530">
        <v>44</v>
      </c>
      <c r="N24" s="530">
        <v>108</v>
      </c>
      <c r="O24" s="530">
        <f t="shared" si="5"/>
        <v>87</v>
      </c>
      <c r="P24" s="530">
        <v>4</v>
      </c>
      <c r="Q24" s="530">
        <v>83</v>
      </c>
    </row>
    <row r="25" spans="1:17" s="394" customFormat="1" ht="18.75" customHeight="1">
      <c r="A25" s="752" t="s">
        <v>642</v>
      </c>
      <c r="B25" s="400" t="s">
        <v>29</v>
      </c>
      <c r="C25" s="409">
        <f t="shared" si="6"/>
        <v>594</v>
      </c>
      <c r="D25" s="530">
        <f t="shared" si="0"/>
        <v>276</v>
      </c>
      <c r="E25" s="530">
        <f t="shared" si="0"/>
        <v>318</v>
      </c>
      <c r="F25" s="530">
        <f t="shared" si="1"/>
        <v>336</v>
      </c>
      <c r="G25" s="530">
        <f aca="true" t="shared" si="12" ref="G25:Q25">G26+G27</f>
        <v>184</v>
      </c>
      <c r="H25" s="530">
        <f t="shared" si="12"/>
        <v>152</v>
      </c>
      <c r="I25" s="530">
        <f t="shared" si="3"/>
        <v>203</v>
      </c>
      <c r="J25" s="530">
        <f t="shared" si="12"/>
        <v>74</v>
      </c>
      <c r="K25" s="530">
        <f t="shared" si="12"/>
        <v>129</v>
      </c>
      <c r="L25" s="530">
        <f t="shared" si="4"/>
        <v>41</v>
      </c>
      <c r="M25" s="530">
        <f t="shared" si="12"/>
        <v>15</v>
      </c>
      <c r="N25" s="530">
        <f t="shared" si="12"/>
        <v>26</v>
      </c>
      <c r="O25" s="530">
        <f t="shared" si="5"/>
        <v>14</v>
      </c>
      <c r="P25" s="530">
        <f t="shared" si="12"/>
        <v>3</v>
      </c>
      <c r="Q25" s="530">
        <f t="shared" si="12"/>
        <v>11</v>
      </c>
    </row>
    <row r="26" spans="1:17" s="394" customFormat="1" ht="18.75" customHeight="1">
      <c r="A26" s="751"/>
      <c r="B26" s="400" t="s">
        <v>610</v>
      </c>
      <c r="C26" s="409">
        <f t="shared" si="6"/>
        <v>404</v>
      </c>
      <c r="D26" s="530">
        <f t="shared" si="0"/>
        <v>200</v>
      </c>
      <c r="E26" s="530">
        <f t="shared" si="0"/>
        <v>204</v>
      </c>
      <c r="F26" s="530">
        <f t="shared" si="1"/>
        <v>228</v>
      </c>
      <c r="G26" s="530">
        <v>127</v>
      </c>
      <c r="H26" s="530">
        <v>101</v>
      </c>
      <c r="I26" s="530">
        <f t="shared" si="3"/>
        <v>138</v>
      </c>
      <c r="J26" s="530">
        <v>59</v>
      </c>
      <c r="K26" s="530">
        <v>79</v>
      </c>
      <c r="L26" s="530">
        <f t="shared" si="4"/>
        <v>30</v>
      </c>
      <c r="M26" s="530">
        <v>13</v>
      </c>
      <c r="N26" s="530">
        <v>17</v>
      </c>
      <c r="O26" s="530">
        <f t="shared" si="5"/>
        <v>8</v>
      </c>
      <c r="P26" s="530">
        <v>1</v>
      </c>
      <c r="Q26" s="530">
        <v>7</v>
      </c>
    </row>
    <row r="27" spans="1:17" s="394" customFormat="1" ht="18.75" customHeight="1">
      <c r="A27" s="751"/>
      <c r="B27" s="400" t="s">
        <v>611</v>
      </c>
      <c r="C27" s="409">
        <f t="shared" si="6"/>
        <v>190</v>
      </c>
      <c r="D27" s="530">
        <f t="shared" si="0"/>
        <v>76</v>
      </c>
      <c r="E27" s="530">
        <f t="shared" si="0"/>
        <v>114</v>
      </c>
      <c r="F27" s="530">
        <f t="shared" si="1"/>
        <v>108</v>
      </c>
      <c r="G27" s="530">
        <v>57</v>
      </c>
      <c r="H27" s="530">
        <v>51</v>
      </c>
      <c r="I27" s="530">
        <f t="shared" si="3"/>
        <v>65</v>
      </c>
      <c r="J27" s="530">
        <v>15</v>
      </c>
      <c r="K27" s="530">
        <v>50</v>
      </c>
      <c r="L27" s="530">
        <f t="shared" si="4"/>
        <v>11</v>
      </c>
      <c r="M27" s="530">
        <v>2</v>
      </c>
      <c r="N27" s="530">
        <v>9</v>
      </c>
      <c r="O27" s="530">
        <f t="shared" si="5"/>
        <v>6</v>
      </c>
      <c r="P27" s="530">
        <v>2</v>
      </c>
      <c r="Q27" s="530">
        <v>4</v>
      </c>
    </row>
    <row r="28" spans="1:17" s="394" customFormat="1" ht="18.75" customHeight="1">
      <c r="A28" s="752" t="s">
        <v>643</v>
      </c>
      <c r="B28" s="400" t="s">
        <v>29</v>
      </c>
      <c r="C28" s="409">
        <f t="shared" si="6"/>
        <v>1175</v>
      </c>
      <c r="D28" s="530">
        <f t="shared" si="0"/>
        <v>572</v>
      </c>
      <c r="E28" s="530">
        <f t="shared" si="0"/>
        <v>603</v>
      </c>
      <c r="F28" s="530">
        <f t="shared" si="1"/>
        <v>679</v>
      </c>
      <c r="G28" s="530">
        <f aca="true" t="shared" si="13" ref="G28:Q28">G29+G30</f>
        <v>372</v>
      </c>
      <c r="H28" s="530">
        <f t="shared" si="13"/>
        <v>307</v>
      </c>
      <c r="I28" s="530">
        <f t="shared" si="3"/>
        <v>393</v>
      </c>
      <c r="J28" s="530">
        <f t="shared" si="13"/>
        <v>163</v>
      </c>
      <c r="K28" s="530">
        <f t="shared" si="13"/>
        <v>230</v>
      </c>
      <c r="L28" s="530">
        <f t="shared" si="4"/>
        <v>74</v>
      </c>
      <c r="M28" s="530">
        <f t="shared" si="13"/>
        <v>32</v>
      </c>
      <c r="N28" s="530">
        <f t="shared" si="13"/>
        <v>42</v>
      </c>
      <c r="O28" s="530">
        <f t="shared" si="5"/>
        <v>29</v>
      </c>
      <c r="P28" s="530">
        <f t="shared" si="13"/>
        <v>5</v>
      </c>
      <c r="Q28" s="530">
        <f t="shared" si="13"/>
        <v>24</v>
      </c>
    </row>
    <row r="29" spans="1:17" s="394" customFormat="1" ht="18.75" customHeight="1">
      <c r="A29" s="751"/>
      <c r="B29" s="400" t="s">
        <v>610</v>
      </c>
      <c r="C29" s="409">
        <f t="shared" si="6"/>
        <v>592</v>
      </c>
      <c r="D29" s="530">
        <f t="shared" si="0"/>
        <v>306</v>
      </c>
      <c r="E29" s="530">
        <f t="shared" si="0"/>
        <v>286</v>
      </c>
      <c r="F29" s="530">
        <f t="shared" si="1"/>
        <v>332</v>
      </c>
      <c r="G29" s="530">
        <v>185</v>
      </c>
      <c r="H29" s="530">
        <v>147</v>
      </c>
      <c r="I29" s="530">
        <f t="shared" si="3"/>
        <v>202</v>
      </c>
      <c r="J29" s="530">
        <v>96</v>
      </c>
      <c r="K29" s="530">
        <v>106</v>
      </c>
      <c r="L29" s="530">
        <f t="shared" si="4"/>
        <v>46</v>
      </c>
      <c r="M29" s="530">
        <v>22</v>
      </c>
      <c r="N29" s="530">
        <v>24</v>
      </c>
      <c r="O29" s="530">
        <f t="shared" si="5"/>
        <v>12</v>
      </c>
      <c r="P29" s="530">
        <v>3</v>
      </c>
      <c r="Q29" s="530">
        <v>9</v>
      </c>
    </row>
    <row r="30" spans="1:17" s="394" customFormat="1" ht="18.75" customHeight="1">
      <c r="A30" s="751"/>
      <c r="B30" s="400" t="s">
        <v>611</v>
      </c>
      <c r="C30" s="409">
        <f t="shared" si="6"/>
        <v>583</v>
      </c>
      <c r="D30" s="530">
        <f t="shared" si="0"/>
        <v>266</v>
      </c>
      <c r="E30" s="530">
        <f t="shared" si="0"/>
        <v>317</v>
      </c>
      <c r="F30" s="530">
        <f t="shared" si="1"/>
        <v>347</v>
      </c>
      <c r="G30" s="530">
        <v>187</v>
      </c>
      <c r="H30" s="530">
        <v>160</v>
      </c>
      <c r="I30" s="530">
        <f t="shared" si="3"/>
        <v>191</v>
      </c>
      <c r="J30" s="530">
        <v>67</v>
      </c>
      <c r="K30" s="530">
        <v>124</v>
      </c>
      <c r="L30" s="530">
        <f t="shared" si="4"/>
        <v>28</v>
      </c>
      <c r="M30" s="530">
        <v>10</v>
      </c>
      <c r="N30" s="530">
        <v>18</v>
      </c>
      <c r="O30" s="530">
        <f t="shared" si="5"/>
        <v>17</v>
      </c>
      <c r="P30" s="530">
        <v>2</v>
      </c>
      <c r="Q30" s="530">
        <v>15</v>
      </c>
    </row>
    <row r="31" spans="1:17" s="394" customFormat="1" ht="18.75" customHeight="1">
      <c r="A31" s="752" t="s">
        <v>644</v>
      </c>
      <c r="B31" s="400" t="s">
        <v>29</v>
      </c>
      <c r="C31" s="409">
        <f t="shared" si="6"/>
        <v>7551</v>
      </c>
      <c r="D31" s="530">
        <f t="shared" si="0"/>
        <v>4197</v>
      </c>
      <c r="E31" s="530">
        <f t="shared" si="0"/>
        <v>3354</v>
      </c>
      <c r="F31" s="530">
        <f t="shared" si="1"/>
        <v>3529</v>
      </c>
      <c r="G31" s="530">
        <f aca="true" t="shared" si="14" ref="G31:Q31">G32+G33</f>
        <v>2083</v>
      </c>
      <c r="H31" s="530">
        <f t="shared" si="14"/>
        <v>1446</v>
      </c>
      <c r="I31" s="530">
        <f t="shared" si="3"/>
        <v>2793</v>
      </c>
      <c r="J31" s="530">
        <f t="shared" si="14"/>
        <v>1610</v>
      </c>
      <c r="K31" s="530">
        <f t="shared" si="14"/>
        <v>1183</v>
      </c>
      <c r="L31" s="530">
        <f t="shared" si="4"/>
        <v>740</v>
      </c>
      <c r="M31" s="530">
        <f t="shared" si="14"/>
        <v>400</v>
      </c>
      <c r="N31" s="530">
        <f t="shared" si="14"/>
        <v>340</v>
      </c>
      <c r="O31" s="530">
        <f t="shared" si="5"/>
        <v>489</v>
      </c>
      <c r="P31" s="530">
        <f t="shared" si="14"/>
        <v>104</v>
      </c>
      <c r="Q31" s="530">
        <f t="shared" si="14"/>
        <v>385</v>
      </c>
    </row>
    <row r="32" spans="1:17" s="394" customFormat="1" ht="18.75" customHeight="1">
      <c r="A32" s="751"/>
      <c r="B32" s="400" t="s">
        <v>610</v>
      </c>
      <c r="C32" s="409">
        <f t="shared" si="6"/>
        <v>159</v>
      </c>
      <c r="D32" s="530">
        <f t="shared" si="0"/>
        <v>61</v>
      </c>
      <c r="E32" s="530">
        <f t="shared" si="0"/>
        <v>98</v>
      </c>
      <c r="F32" s="530">
        <f t="shared" si="1"/>
        <v>81</v>
      </c>
      <c r="G32" s="530">
        <v>39</v>
      </c>
      <c r="H32" s="530">
        <v>42</v>
      </c>
      <c r="I32" s="530">
        <f t="shared" si="3"/>
        <v>63</v>
      </c>
      <c r="J32" s="530">
        <v>17</v>
      </c>
      <c r="K32" s="530">
        <v>46</v>
      </c>
      <c r="L32" s="530">
        <f t="shared" si="4"/>
        <v>8</v>
      </c>
      <c r="M32" s="530">
        <v>4</v>
      </c>
      <c r="N32" s="530">
        <v>4</v>
      </c>
      <c r="O32" s="530">
        <f t="shared" si="5"/>
        <v>7</v>
      </c>
      <c r="P32" s="530">
        <v>1</v>
      </c>
      <c r="Q32" s="530">
        <v>6</v>
      </c>
    </row>
    <row r="33" spans="1:17" s="394" customFormat="1" ht="18.75" customHeight="1">
      <c r="A33" s="751"/>
      <c r="B33" s="400" t="s">
        <v>611</v>
      </c>
      <c r="C33" s="409">
        <f t="shared" si="6"/>
        <v>7392</v>
      </c>
      <c r="D33" s="530">
        <f t="shared" si="0"/>
        <v>4136</v>
      </c>
      <c r="E33" s="530">
        <f t="shared" si="0"/>
        <v>3256</v>
      </c>
      <c r="F33" s="530">
        <f t="shared" si="1"/>
        <v>3448</v>
      </c>
      <c r="G33" s="530">
        <v>2044</v>
      </c>
      <c r="H33" s="530">
        <v>1404</v>
      </c>
      <c r="I33" s="530">
        <f t="shared" si="3"/>
        <v>2730</v>
      </c>
      <c r="J33" s="530">
        <v>1593</v>
      </c>
      <c r="K33" s="530">
        <v>1137</v>
      </c>
      <c r="L33" s="530">
        <f t="shared" si="4"/>
        <v>732</v>
      </c>
      <c r="M33" s="530">
        <v>396</v>
      </c>
      <c r="N33" s="530">
        <v>336</v>
      </c>
      <c r="O33" s="530">
        <f t="shared" si="5"/>
        <v>482</v>
      </c>
      <c r="P33" s="530">
        <v>103</v>
      </c>
      <c r="Q33" s="530">
        <v>379</v>
      </c>
    </row>
    <row r="34" spans="1:17" s="386" customFormat="1" ht="3" customHeight="1" thickBot="1">
      <c r="A34" s="387"/>
      <c r="B34" s="388"/>
      <c r="C34" s="532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</row>
  </sheetData>
  <mergeCells count="18">
    <mergeCell ref="I4:K5"/>
    <mergeCell ref="L4:N5"/>
    <mergeCell ref="A16:A18"/>
    <mergeCell ref="I2:Q2"/>
    <mergeCell ref="A7:A9"/>
    <mergeCell ref="A10:A12"/>
    <mergeCell ref="A13:A15"/>
    <mergeCell ref="O4:Q5"/>
    <mergeCell ref="A2:H2"/>
    <mergeCell ref="A4:A5"/>
    <mergeCell ref="B4:B5"/>
    <mergeCell ref="C4:E5"/>
    <mergeCell ref="F4:H5"/>
    <mergeCell ref="A31:A33"/>
    <mergeCell ref="A19:A21"/>
    <mergeCell ref="A22:A24"/>
    <mergeCell ref="A25:A27"/>
    <mergeCell ref="A28:A30"/>
  </mergeCells>
  <printOptions horizontalCentered="1"/>
  <pageMargins left="1.1811023622047245" right="1.1811023622047245" top="1.5748031496062993" bottom="1.5748031496062993" header="0.5118110236220472" footer="0.9055118110236221"/>
  <pageSetup firstPageNumber="6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="120" zoomScaleNormal="120" zoomScaleSheetLayoutView="50" workbookViewId="0" topLeftCell="A1">
      <selection activeCell="A2" sqref="A2:J2"/>
    </sheetView>
  </sheetViews>
  <sheetFormatPr defaultColWidth="9.00390625" defaultRowHeight="21.75" customHeight="1"/>
  <cols>
    <col min="1" max="1" width="19.125" style="15" customWidth="1"/>
    <col min="2" max="2" width="6.125" style="13" customWidth="1"/>
    <col min="3" max="3" width="6.875" style="13" customWidth="1"/>
    <col min="4" max="4" width="7.125" style="13" customWidth="1"/>
    <col min="5" max="5" width="5.625" style="13" customWidth="1"/>
    <col min="6" max="6" width="6.125" style="13" customWidth="1"/>
    <col min="7" max="7" width="5.625" style="13" customWidth="1"/>
    <col min="8" max="8" width="7.125" style="13" customWidth="1"/>
    <col min="9" max="10" width="6.125" style="13" customWidth="1"/>
    <col min="11" max="12" width="7.625" style="13" customWidth="1"/>
    <col min="13" max="13" width="5.125" style="13" customWidth="1"/>
    <col min="14" max="14" width="6.125" style="13" customWidth="1"/>
    <col min="15" max="15" width="7.625" style="13" customWidth="1"/>
    <col min="16" max="16" width="7.125" style="13" customWidth="1"/>
    <col min="17" max="17" width="6.125" style="51" customWidth="1"/>
    <col min="18" max="18" width="7.125" style="7" customWidth="1"/>
    <col min="19" max="19" width="6.625" style="7" customWidth="1"/>
    <col min="20" max="20" width="8.125" style="7" customWidth="1"/>
    <col min="21" max="21" width="6.625" style="7" customWidth="1"/>
    <col min="22" max="16384" width="10.625" style="7" customWidth="1"/>
  </cols>
  <sheetData>
    <row r="1" spans="1:21" s="15" customFormat="1" ht="18" customHeight="1">
      <c r="A1" s="118" t="s">
        <v>301</v>
      </c>
      <c r="B1" s="16"/>
      <c r="C1" s="16"/>
      <c r="D1" s="16"/>
      <c r="E1" s="16"/>
      <c r="F1" s="16"/>
      <c r="G1" s="16"/>
      <c r="H1" s="16"/>
      <c r="I1" s="16"/>
      <c r="J1" s="21"/>
      <c r="K1" s="16"/>
      <c r="L1" s="16"/>
      <c r="M1" s="16"/>
      <c r="N1" s="16"/>
      <c r="O1" s="16"/>
      <c r="P1" s="16"/>
      <c r="Q1" s="16"/>
      <c r="R1" s="16"/>
      <c r="S1" s="16"/>
      <c r="T1" s="16"/>
      <c r="U1" s="75" t="s">
        <v>142</v>
      </c>
    </row>
    <row r="2" spans="1:21" s="19" customFormat="1" ht="24.75" customHeight="1">
      <c r="A2" s="595" t="s">
        <v>303</v>
      </c>
      <c r="B2" s="596"/>
      <c r="C2" s="596"/>
      <c r="D2" s="596"/>
      <c r="E2" s="596"/>
      <c r="F2" s="596"/>
      <c r="G2" s="596"/>
      <c r="H2" s="596"/>
      <c r="I2" s="596"/>
      <c r="J2" s="596"/>
      <c r="K2" s="596" t="s">
        <v>304</v>
      </c>
      <c r="L2" s="596"/>
      <c r="M2" s="596"/>
      <c r="N2" s="596"/>
      <c r="O2" s="596"/>
      <c r="P2" s="596"/>
      <c r="Q2" s="596"/>
      <c r="R2" s="596"/>
      <c r="S2" s="596"/>
      <c r="T2" s="596"/>
      <c r="U2" s="596"/>
    </row>
    <row r="3" spans="1:21" ht="15.75" customHeight="1" thickBot="1">
      <c r="A3" s="1"/>
      <c r="B3" s="51"/>
      <c r="C3" s="51"/>
      <c r="D3" s="51"/>
      <c r="E3" s="51"/>
      <c r="F3" s="51"/>
      <c r="G3" s="51"/>
      <c r="H3" s="51"/>
      <c r="J3" s="206" t="s">
        <v>302</v>
      </c>
      <c r="K3" s="4"/>
      <c r="L3" s="4"/>
      <c r="M3" s="4"/>
      <c r="N3" s="4"/>
      <c r="O3" s="4"/>
      <c r="P3" s="4"/>
      <c r="Q3" s="4"/>
      <c r="R3" s="4"/>
      <c r="S3" s="4"/>
      <c r="T3" s="4"/>
      <c r="U3" s="55" t="s">
        <v>267</v>
      </c>
    </row>
    <row r="4" spans="1:21" ht="18" customHeight="1">
      <c r="A4" s="593" t="s">
        <v>324</v>
      </c>
      <c r="B4" s="598" t="s">
        <v>739</v>
      </c>
      <c r="C4" s="585"/>
      <c r="D4" s="585"/>
      <c r="E4" s="585"/>
      <c r="F4" s="585"/>
      <c r="G4" s="585"/>
      <c r="H4" s="585"/>
      <c r="I4" s="585"/>
      <c r="J4" s="585"/>
      <c r="K4" s="585" t="s">
        <v>141</v>
      </c>
      <c r="L4" s="585"/>
      <c r="M4" s="586"/>
      <c r="N4" s="587" t="s">
        <v>359</v>
      </c>
      <c r="O4" s="585"/>
      <c r="P4" s="585"/>
      <c r="Q4" s="585"/>
      <c r="R4" s="585"/>
      <c r="S4" s="585"/>
      <c r="T4" s="585"/>
      <c r="U4" s="585"/>
    </row>
    <row r="5" spans="1:21" ht="27.75" customHeight="1">
      <c r="A5" s="594"/>
      <c r="B5" s="152" t="s">
        <v>665</v>
      </c>
      <c r="C5" s="85" t="s">
        <v>666</v>
      </c>
      <c r="D5" s="597" t="s">
        <v>679</v>
      </c>
      <c r="E5" s="583"/>
      <c r="F5" s="583"/>
      <c r="G5" s="583"/>
      <c r="H5" s="583"/>
      <c r="I5" s="584"/>
      <c r="J5" s="92" t="s">
        <v>309</v>
      </c>
      <c r="K5" s="201" t="s">
        <v>310</v>
      </c>
      <c r="L5" s="85" t="s">
        <v>667</v>
      </c>
      <c r="M5" s="85" t="s">
        <v>668</v>
      </c>
      <c r="N5" s="150" t="s">
        <v>665</v>
      </c>
      <c r="O5" s="85" t="s">
        <v>669</v>
      </c>
      <c r="P5" s="597" t="s">
        <v>681</v>
      </c>
      <c r="Q5" s="583"/>
      <c r="R5" s="583"/>
      <c r="S5" s="583"/>
      <c r="T5" s="583"/>
      <c r="U5" s="584"/>
    </row>
    <row r="6" spans="1:21" ht="19.5" customHeight="1">
      <c r="A6" s="588" t="s">
        <v>670</v>
      </c>
      <c r="B6" s="165"/>
      <c r="C6" s="579" t="s">
        <v>308</v>
      </c>
      <c r="D6" s="105" t="s">
        <v>671</v>
      </c>
      <c r="E6" s="105" t="s">
        <v>672</v>
      </c>
      <c r="F6" s="105" t="s">
        <v>673</v>
      </c>
      <c r="G6" s="105" t="s">
        <v>674</v>
      </c>
      <c r="H6" s="105" t="s">
        <v>675</v>
      </c>
      <c r="I6" s="105" t="s">
        <v>676</v>
      </c>
      <c r="J6" s="581" t="s">
        <v>677</v>
      </c>
      <c r="K6" s="591" t="s">
        <v>678</v>
      </c>
      <c r="L6" s="129"/>
      <c r="M6" s="129"/>
      <c r="N6" s="207"/>
      <c r="O6" s="579" t="s">
        <v>140</v>
      </c>
      <c r="P6" s="122" t="s">
        <v>268</v>
      </c>
      <c r="Q6" s="122" t="s">
        <v>269</v>
      </c>
      <c r="R6" s="122" t="s">
        <v>270</v>
      </c>
      <c r="S6" s="122" t="s">
        <v>271</v>
      </c>
      <c r="T6" s="122" t="s">
        <v>272</v>
      </c>
      <c r="U6" s="92" t="s">
        <v>273</v>
      </c>
    </row>
    <row r="7" spans="1:21" s="123" customFormat="1" ht="30" customHeight="1" thickBot="1">
      <c r="A7" s="589"/>
      <c r="B7" s="166" t="s">
        <v>129</v>
      </c>
      <c r="C7" s="580"/>
      <c r="D7" s="151" t="s">
        <v>274</v>
      </c>
      <c r="E7" s="31" t="s">
        <v>138</v>
      </c>
      <c r="F7" s="31" t="s">
        <v>275</v>
      </c>
      <c r="G7" s="31" t="s">
        <v>276</v>
      </c>
      <c r="H7" s="31" t="s">
        <v>277</v>
      </c>
      <c r="I7" s="31" t="s">
        <v>278</v>
      </c>
      <c r="J7" s="590"/>
      <c r="K7" s="592"/>
      <c r="L7" s="130" t="s">
        <v>139</v>
      </c>
      <c r="M7" s="130" t="s">
        <v>130</v>
      </c>
      <c r="N7" s="202" t="s">
        <v>129</v>
      </c>
      <c r="O7" s="580"/>
      <c r="P7" s="151" t="s">
        <v>274</v>
      </c>
      <c r="Q7" s="151" t="s">
        <v>138</v>
      </c>
      <c r="R7" s="151" t="s">
        <v>275</v>
      </c>
      <c r="S7" s="151" t="s">
        <v>276</v>
      </c>
      <c r="T7" s="151" t="s">
        <v>277</v>
      </c>
      <c r="U7" s="151" t="s">
        <v>278</v>
      </c>
    </row>
    <row r="8" spans="1:21" ht="19.5" customHeight="1">
      <c r="A8" s="180" t="s">
        <v>279</v>
      </c>
      <c r="B8" s="420">
        <v>114015</v>
      </c>
      <c r="C8" s="411">
        <v>1450</v>
      </c>
      <c r="D8" s="421" t="s">
        <v>647</v>
      </c>
      <c r="E8" s="411">
        <v>9844</v>
      </c>
      <c r="F8" s="421" t="s">
        <v>649</v>
      </c>
      <c r="G8" s="421" t="s">
        <v>649</v>
      </c>
      <c r="H8" s="411">
        <v>1565</v>
      </c>
      <c r="I8" s="411">
        <v>807</v>
      </c>
      <c r="J8" s="411">
        <v>46286</v>
      </c>
      <c r="K8" s="411">
        <v>52389</v>
      </c>
      <c r="L8" s="411">
        <v>1664</v>
      </c>
      <c r="M8" s="411">
        <v>10</v>
      </c>
      <c r="N8" s="411">
        <v>98064</v>
      </c>
      <c r="O8" s="411">
        <v>2896</v>
      </c>
      <c r="P8" s="421" t="s">
        <v>649</v>
      </c>
      <c r="Q8" s="411">
        <v>7406</v>
      </c>
      <c r="R8" s="421" t="s">
        <v>60</v>
      </c>
      <c r="S8" s="421" t="s">
        <v>60</v>
      </c>
      <c r="T8" s="422">
        <v>1159</v>
      </c>
      <c r="U8" s="411">
        <v>978</v>
      </c>
    </row>
    <row r="9" spans="1:21" ht="19.5" customHeight="1">
      <c r="A9" s="180" t="s">
        <v>280</v>
      </c>
      <c r="B9" s="423">
        <v>109412</v>
      </c>
      <c r="C9" s="39">
        <v>1425</v>
      </c>
      <c r="D9" s="424" t="s">
        <v>648</v>
      </c>
      <c r="E9" s="39">
        <v>10242</v>
      </c>
      <c r="F9" s="424" t="s">
        <v>648</v>
      </c>
      <c r="G9" s="424" t="s">
        <v>648</v>
      </c>
      <c r="H9" s="39">
        <v>1662</v>
      </c>
      <c r="I9" s="39">
        <v>506</v>
      </c>
      <c r="J9" s="39">
        <v>43756</v>
      </c>
      <c r="K9" s="39">
        <v>50378</v>
      </c>
      <c r="L9" s="39">
        <v>1426</v>
      </c>
      <c r="M9" s="39">
        <v>17</v>
      </c>
      <c r="N9" s="39">
        <v>91879</v>
      </c>
      <c r="O9" s="39">
        <v>3075</v>
      </c>
      <c r="P9" s="424" t="s">
        <v>648</v>
      </c>
      <c r="Q9" s="39">
        <v>6564</v>
      </c>
      <c r="R9" s="424" t="s">
        <v>648</v>
      </c>
      <c r="S9" s="424" t="s">
        <v>648</v>
      </c>
      <c r="T9" s="425">
        <v>1056</v>
      </c>
      <c r="U9" s="39">
        <v>644</v>
      </c>
    </row>
    <row r="10" spans="1:21" ht="19.5" customHeight="1">
      <c r="A10" s="180" t="s">
        <v>281</v>
      </c>
      <c r="B10" s="426">
        <v>115448</v>
      </c>
      <c r="C10" s="416">
        <v>1974</v>
      </c>
      <c r="D10" s="427" t="s">
        <v>648</v>
      </c>
      <c r="E10" s="416">
        <v>9673</v>
      </c>
      <c r="F10" s="427" t="s">
        <v>648</v>
      </c>
      <c r="G10" s="427" t="s">
        <v>648</v>
      </c>
      <c r="H10" s="416">
        <v>1718</v>
      </c>
      <c r="I10" s="416">
        <v>423</v>
      </c>
      <c r="J10" s="416">
        <v>45684</v>
      </c>
      <c r="K10" s="416">
        <v>54289</v>
      </c>
      <c r="L10" s="416">
        <v>1671</v>
      </c>
      <c r="M10" s="416">
        <v>16</v>
      </c>
      <c r="N10" s="416">
        <v>95238</v>
      </c>
      <c r="O10" s="416">
        <v>3121</v>
      </c>
      <c r="P10" s="427" t="s">
        <v>648</v>
      </c>
      <c r="Q10" s="416">
        <v>6435</v>
      </c>
      <c r="R10" s="427" t="s">
        <v>648</v>
      </c>
      <c r="S10" s="427" t="s">
        <v>648</v>
      </c>
      <c r="T10" s="416">
        <v>1123</v>
      </c>
      <c r="U10" s="416">
        <v>906</v>
      </c>
    </row>
    <row r="11" spans="1:21" ht="19.5" customHeight="1">
      <c r="A11" s="180" t="s">
        <v>282</v>
      </c>
      <c r="B11" s="426">
        <v>125592</v>
      </c>
      <c r="C11" s="416">
        <v>1977</v>
      </c>
      <c r="D11" s="427" t="s">
        <v>648</v>
      </c>
      <c r="E11" s="416">
        <v>9790</v>
      </c>
      <c r="F11" s="427" t="s">
        <v>648</v>
      </c>
      <c r="G11" s="427" t="s">
        <v>648</v>
      </c>
      <c r="H11" s="416">
        <v>1682</v>
      </c>
      <c r="I11" s="416">
        <v>551</v>
      </c>
      <c r="J11" s="416">
        <v>45603</v>
      </c>
      <c r="K11" s="416">
        <v>55658</v>
      </c>
      <c r="L11" s="416">
        <v>2181</v>
      </c>
      <c r="M11" s="416">
        <v>8150</v>
      </c>
      <c r="N11" s="416">
        <v>108220</v>
      </c>
      <c r="O11" s="416">
        <v>2485</v>
      </c>
      <c r="P11" s="427" t="s">
        <v>648</v>
      </c>
      <c r="Q11" s="416">
        <v>6646</v>
      </c>
      <c r="R11" s="427" t="s">
        <v>648</v>
      </c>
      <c r="S11" s="427" t="s">
        <v>648</v>
      </c>
      <c r="T11" s="416">
        <v>1203</v>
      </c>
      <c r="U11" s="416">
        <v>1426</v>
      </c>
    </row>
    <row r="12" spans="1:21" ht="19.5" customHeight="1">
      <c r="A12" s="180" t="s">
        <v>283</v>
      </c>
      <c r="B12" s="426">
        <v>126034</v>
      </c>
      <c r="C12" s="416">
        <v>3300</v>
      </c>
      <c r="D12" s="427" t="s">
        <v>648</v>
      </c>
      <c r="E12" s="416">
        <v>9454</v>
      </c>
      <c r="F12" s="427" t="s">
        <v>648</v>
      </c>
      <c r="G12" s="427" t="s">
        <v>648</v>
      </c>
      <c r="H12" s="416">
        <v>1879</v>
      </c>
      <c r="I12" s="416">
        <v>689</v>
      </c>
      <c r="J12" s="416">
        <v>49709</v>
      </c>
      <c r="K12" s="416">
        <v>58464</v>
      </c>
      <c r="L12" s="416">
        <v>2550</v>
      </c>
      <c r="M12" s="416">
        <v>9</v>
      </c>
      <c r="N12" s="416">
        <v>105199</v>
      </c>
      <c r="O12" s="416">
        <v>3119</v>
      </c>
      <c r="P12" s="427" t="s">
        <v>648</v>
      </c>
      <c r="Q12" s="416">
        <v>7227</v>
      </c>
      <c r="R12" s="427" t="s">
        <v>648</v>
      </c>
      <c r="S12" s="427" t="s">
        <v>648</v>
      </c>
      <c r="T12" s="416">
        <v>1273</v>
      </c>
      <c r="U12" s="416">
        <v>1236</v>
      </c>
    </row>
    <row r="13" spans="1:21" s="119" customFormat="1" ht="19.5" customHeight="1">
      <c r="A13" s="180" t="s">
        <v>284</v>
      </c>
      <c r="B13" s="426">
        <v>102147</v>
      </c>
      <c r="C13" s="416">
        <v>3345</v>
      </c>
      <c r="D13" s="427" t="s">
        <v>648</v>
      </c>
      <c r="E13" s="416">
        <v>8475</v>
      </c>
      <c r="F13" s="427" t="s">
        <v>648</v>
      </c>
      <c r="G13" s="427" t="s">
        <v>648</v>
      </c>
      <c r="H13" s="416">
        <v>1446</v>
      </c>
      <c r="I13" s="416">
        <v>427</v>
      </c>
      <c r="J13" s="416">
        <v>39620</v>
      </c>
      <c r="K13" s="416">
        <v>46039</v>
      </c>
      <c r="L13" s="416">
        <v>2785</v>
      </c>
      <c r="M13" s="416">
        <v>10</v>
      </c>
      <c r="N13" s="416">
        <v>88268</v>
      </c>
      <c r="O13" s="416">
        <v>4984</v>
      </c>
      <c r="P13" s="427" t="s">
        <v>648</v>
      </c>
      <c r="Q13" s="416">
        <v>5686</v>
      </c>
      <c r="R13" s="427" t="s">
        <v>648</v>
      </c>
      <c r="S13" s="427" t="s">
        <v>648</v>
      </c>
      <c r="T13" s="416">
        <v>1165</v>
      </c>
      <c r="U13" s="416">
        <v>947</v>
      </c>
    </row>
    <row r="14" spans="1:21" s="119" customFormat="1" ht="19.5" customHeight="1">
      <c r="A14" s="180" t="s">
        <v>285</v>
      </c>
      <c r="B14" s="426">
        <v>106317</v>
      </c>
      <c r="C14" s="416">
        <v>3030</v>
      </c>
      <c r="D14" s="427" t="s">
        <v>648</v>
      </c>
      <c r="E14" s="416">
        <v>8291</v>
      </c>
      <c r="F14" s="427" t="s">
        <v>648</v>
      </c>
      <c r="G14" s="427" t="s">
        <v>648</v>
      </c>
      <c r="H14" s="416">
        <v>1424</v>
      </c>
      <c r="I14" s="416">
        <v>515</v>
      </c>
      <c r="J14" s="416">
        <v>41467</v>
      </c>
      <c r="K14" s="416">
        <v>49136</v>
      </c>
      <c r="L14" s="416">
        <v>2451</v>
      </c>
      <c r="M14" s="416">
        <v>3</v>
      </c>
      <c r="N14" s="416">
        <v>92102</v>
      </c>
      <c r="O14" s="416">
        <v>3555</v>
      </c>
      <c r="P14" s="427" t="s">
        <v>648</v>
      </c>
      <c r="Q14" s="416">
        <v>6015</v>
      </c>
      <c r="R14" s="427" t="s">
        <v>648</v>
      </c>
      <c r="S14" s="427" t="s">
        <v>648</v>
      </c>
      <c r="T14" s="416">
        <v>1202</v>
      </c>
      <c r="U14" s="416">
        <v>991</v>
      </c>
    </row>
    <row r="15" spans="1:21" s="119" customFormat="1" ht="19.5" customHeight="1">
      <c r="A15" s="180" t="s">
        <v>286</v>
      </c>
      <c r="B15" s="426">
        <v>103947</v>
      </c>
      <c r="C15" s="416">
        <v>3220</v>
      </c>
      <c r="D15" s="427" t="s">
        <v>648</v>
      </c>
      <c r="E15" s="416">
        <v>7678</v>
      </c>
      <c r="F15" s="427" t="s">
        <v>648</v>
      </c>
      <c r="G15" s="427" t="s">
        <v>648</v>
      </c>
      <c r="H15" s="416">
        <v>1354</v>
      </c>
      <c r="I15" s="416">
        <v>423</v>
      </c>
      <c r="J15" s="416">
        <v>38088</v>
      </c>
      <c r="K15" s="416">
        <v>47943</v>
      </c>
      <c r="L15" s="416">
        <v>5236</v>
      </c>
      <c r="M15" s="416">
        <v>5</v>
      </c>
      <c r="N15" s="416">
        <v>92576</v>
      </c>
      <c r="O15" s="416">
        <v>4377</v>
      </c>
      <c r="P15" s="427" t="s">
        <v>648</v>
      </c>
      <c r="Q15" s="416">
        <v>5779</v>
      </c>
      <c r="R15" s="427" t="s">
        <v>648</v>
      </c>
      <c r="S15" s="427" t="s">
        <v>648</v>
      </c>
      <c r="T15" s="416">
        <v>1099</v>
      </c>
      <c r="U15" s="416">
        <v>2207</v>
      </c>
    </row>
    <row r="16" spans="1:21" s="119" customFormat="1" ht="19.5" customHeight="1">
      <c r="A16" s="180" t="s">
        <v>287</v>
      </c>
      <c r="B16" s="426">
        <v>134191</v>
      </c>
      <c r="C16" s="416">
        <v>3010</v>
      </c>
      <c r="D16" s="427" t="s">
        <v>648</v>
      </c>
      <c r="E16" s="416">
        <v>10154</v>
      </c>
      <c r="F16" s="427" t="s">
        <v>648</v>
      </c>
      <c r="G16" s="427" t="s">
        <v>648</v>
      </c>
      <c r="H16" s="416">
        <v>2391</v>
      </c>
      <c r="I16" s="416">
        <v>555</v>
      </c>
      <c r="J16" s="416">
        <v>65847</v>
      </c>
      <c r="K16" s="416">
        <v>48874</v>
      </c>
      <c r="L16" s="416">
        <v>3349</v>
      </c>
      <c r="M16" s="416">
        <v>11</v>
      </c>
      <c r="N16" s="416">
        <v>116568</v>
      </c>
      <c r="O16" s="416">
        <v>3599</v>
      </c>
      <c r="P16" s="427" t="s">
        <v>648</v>
      </c>
      <c r="Q16" s="416">
        <v>10085</v>
      </c>
      <c r="R16" s="427" t="s">
        <v>648</v>
      </c>
      <c r="S16" s="427" t="s">
        <v>648</v>
      </c>
      <c r="T16" s="416">
        <v>1819</v>
      </c>
      <c r="U16" s="416">
        <v>1202</v>
      </c>
    </row>
    <row r="17" spans="1:21" s="119" customFormat="1" ht="19.5" customHeight="1">
      <c r="A17" s="180" t="s">
        <v>288</v>
      </c>
      <c r="B17" s="426">
        <f aca="true" t="shared" si="0" ref="B17:U17">SUM(B18:B30)</f>
        <v>99132</v>
      </c>
      <c r="C17" s="416">
        <f t="shared" si="0"/>
        <v>3023</v>
      </c>
      <c r="D17" s="416">
        <f t="shared" si="0"/>
        <v>16507</v>
      </c>
      <c r="E17" s="416">
        <f t="shared" si="0"/>
        <v>6883</v>
      </c>
      <c r="F17" s="416">
        <f t="shared" si="0"/>
        <v>2663</v>
      </c>
      <c r="G17" s="416">
        <f t="shared" si="0"/>
        <v>1653</v>
      </c>
      <c r="H17" s="416">
        <f t="shared" si="0"/>
        <v>2549</v>
      </c>
      <c r="I17" s="416">
        <f t="shared" si="0"/>
        <v>448</v>
      </c>
      <c r="J17" s="416">
        <f t="shared" si="0"/>
        <v>16225</v>
      </c>
      <c r="K17" s="416">
        <f t="shared" si="0"/>
        <v>46493</v>
      </c>
      <c r="L17" s="416">
        <f t="shared" si="0"/>
        <v>2680</v>
      </c>
      <c r="M17" s="416">
        <f t="shared" si="0"/>
        <v>8</v>
      </c>
      <c r="N17" s="416">
        <f t="shared" si="0"/>
        <v>95050</v>
      </c>
      <c r="O17" s="416">
        <f t="shared" si="0"/>
        <v>3849</v>
      </c>
      <c r="P17" s="416">
        <f t="shared" si="0"/>
        <v>13963</v>
      </c>
      <c r="Q17" s="416">
        <f t="shared" si="0"/>
        <v>8883</v>
      </c>
      <c r="R17" s="416">
        <f t="shared" si="0"/>
        <v>2710</v>
      </c>
      <c r="S17" s="416">
        <f t="shared" si="0"/>
        <v>1528</v>
      </c>
      <c r="T17" s="416">
        <f t="shared" si="0"/>
        <v>2086</v>
      </c>
      <c r="U17" s="416">
        <f t="shared" si="0"/>
        <v>1748</v>
      </c>
    </row>
    <row r="18" spans="1:21" s="119" customFormat="1" ht="19.5" customHeight="1">
      <c r="A18" s="120" t="s">
        <v>246</v>
      </c>
      <c r="B18" s="426">
        <f aca="true" t="shared" si="1" ref="B18:B30">SUM(C18:M18)</f>
        <v>20883</v>
      </c>
      <c r="C18" s="416">
        <v>781</v>
      </c>
      <c r="D18" s="416">
        <v>4084</v>
      </c>
      <c r="E18" s="416">
        <v>2016</v>
      </c>
      <c r="F18" s="416">
        <v>632</v>
      </c>
      <c r="G18" s="416">
        <v>400</v>
      </c>
      <c r="H18" s="416">
        <v>636</v>
      </c>
      <c r="I18" s="416">
        <v>98</v>
      </c>
      <c r="J18" s="416">
        <v>3189</v>
      </c>
      <c r="K18" s="416">
        <v>8573</v>
      </c>
      <c r="L18" s="416">
        <v>472</v>
      </c>
      <c r="M18" s="416">
        <v>2</v>
      </c>
      <c r="N18" s="416">
        <v>19318</v>
      </c>
      <c r="O18" s="416">
        <v>1001</v>
      </c>
      <c r="P18" s="416">
        <v>3114</v>
      </c>
      <c r="Q18" s="416">
        <v>2396</v>
      </c>
      <c r="R18" s="416">
        <v>631</v>
      </c>
      <c r="S18" s="416">
        <v>391</v>
      </c>
      <c r="T18" s="429">
        <v>531</v>
      </c>
      <c r="U18" s="416">
        <v>265</v>
      </c>
    </row>
    <row r="19" spans="1:21" s="119" customFormat="1" ht="19.5" customHeight="1">
      <c r="A19" s="120" t="s">
        <v>289</v>
      </c>
      <c r="B19" s="426">
        <f t="shared" si="1"/>
        <v>17443</v>
      </c>
      <c r="C19" s="416">
        <v>640</v>
      </c>
      <c r="D19" s="416">
        <v>2023</v>
      </c>
      <c r="E19" s="416">
        <v>1010</v>
      </c>
      <c r="F19" s="416">
        <v>489</v>
      </c>
      <c r="G19" s="416">
        <v>298</v>
      </c>
      <c r="H19" s="416">
        <v>473</v>
      </c>
      <c r="I19" s="416">
        <v>108</v>
      </c>
      <c r="J19" s="416">
        <v>2927</v>
      </c>
      <c r="K19" s="416">
        <v>8998</v>
      </c>
      <c r="L19" s="416">
        <v>474</v>
      </c>
      <c r="M19" s="416">
        <v>3</v>
      </c>
      <c r="N19" s="416">
        <v>15915</v>
      </c>
      <c r="O19" s="416">
        <v>782</v>
      </c>
      <c r="P19" s="416">
        <v>1591</v>
      </c>
      <c r="Q19" s="416">
        <v>1413</v>
      </c>
      <c r="R19" s="416">
        <v>469</v>
      </c>
      <c r="S19" s="416">
        <v>267</v>
      </c>
      <c r="T19" s="429">
        <v>333</v>
      </c>
      <c r="U19" s="416">
        <v>498</v>
      </c>
    </row>
    <row r="20" spans="1:21" s="119" customFormat="1" ht="19.5" customHeight="1">
      <c r="A20" s="120" t="s">
        <v>290</v>
      </c>
      <c r="B20" s="426">
        <f t="shared" si="1"/>
        <v>10303</v>
      </c>
      <c r="C20" s="416">
        <v>256</v>
      </c>
      <c r="D20" s="416">
        <v>880</v>
      </c>
      <c r="E20" s="416">
        <v>387</v>
      </c>
      <c r="F20" s="416">
        <v>234</v>
      </c>
      <c r="G20" s="416">
        <v>151</v>
      </c>
      <c r="H20" s="416">
        <v>188</v>
      </c>
      <c r="I20" s="416">
        <v>40</v>
      </c>
      <c r="J20" s="416">
        <v>1562</v>
      </c>
      <c r="K20" s="416">
        <v>6361</v>
      </c>
      <c r="L20" s="416">
        <v>244</v>
      </c>
      <c r="M20" s="427" t="s">
        <v>60</v>
      </c>
      <c r="N20" s="416">
        <v>9953</v>
      </c>
      <c r="O20" s="416">
        <v>326</v>
      </c>
      <c r="P20" s="416">
        <v>824</v>
      </c>
      <c r="Q20" s="416">
        <v>680</v>
      </c>
      <c r="R20" s="416">
        <v>243</v>
      </c>
      <c r="S20" s="416">
        <v>134</v>
      </c>
      <c r="T20" s="429">
        <v>155</v>
      </c>
      <c r="U20" s="416">
        <v>196</v>
      </c>
    </row>
    <row r="21" spans="1:21" s="119" customFormat="1" ht="19.5" customHeight="1">
      <c r="A21" s="120" t="s">
        <v>291</v>
      </c>
      <c r="B21" s="426">
        <f t="shared" si="1"/>
        <v>9269</v>
      </c>
      <c r="C21" s="416">
        <v>215</v>
      </c>
      <c r="D21" s="416">
        <v>1589</v>
      </c>
      <c r="E21" s="416">
        <v>383</v>
      </c>
      <c r="F21" s="416">
        <v>198</v>
      </c>
      <c r="G21" s="416">
        <v>111</v>
      </c>
      <c r="H21" s="416">
        <v>191</v>
      </c>
      <c r="I21" s="416">
        <v>92</v>
      </c>
      <c r="J21" s="416">
        <v>1278</v>
      </c>
      <c r="K21" s="416">
        <v>4935</v>
      </c>
      <c r="L21" s="416">
        <v>276</v>
      </c>
      <c r="M21" s="416">
        <v>1</v>
      </c>
      <c r="N21" s="416">
        <v>9280</v>
      </c>
      <c r="O21" s="416">
        <v>278</v>
      </c>
      <c r="P21" s="416">
        <v>1300</v>
      </c>
      <c r="Q21" s="416">
        <v>618</v>
      </c>
      <c r="R21" s="416">
        <v>216</v>
      </c>
      <c r="S21" s="416">
        <v>133</v>
      </c>
      <c r="T21" s="429">
        <v>179</v>
      </c>
      <c r="U21" s="416">
        <v>283</v>
      </c>
    </row>
    <row r="22" spans="1:21" s="119" customFormat="1" ht="19.5" customHeight="1">
      <c r="A22" s="120" t="s">
        <v>292</v>
      </c>
      <c r="B22" s="426">
        <f t="shared" si="1"/>
        <v>6933</v>
      </c>
      <c r="C22" s="416">
        <v>182</v>
      </c>
      <c r="D22" s="416">
        <v>857</v>
      </c>
      <c r="E22" s="416">
        <v>370</v>
      </c>
      <c r="F22" s="416">
        <v>193</v>
      </c>
      <c r="G22" s="416">
        <v>135</v>
      </c>
      <c r="H22" s="416">
        <v>163</v>
      </c>
      <c r="I22" s="416">
        <v>18</v>
      </c>
      <c r="J22" s="416">
        <v>1714</v>
      </c>
      <c r="K22" s="416">
        <v>3119</v>
      </c>
      <c r="L22" s="416">
        <v>182</v>
      </c>
      <c r="M22" s="427" t="s">
        <v>60</v>
      </c>
      <c r="N22" s="416">
        <v>6097</v>
      </c>
      <c r="O22" s="416">
        <v>218</v>
      </c>
      <c r="P22" s="416">
        <v>655</v>
      </c>
      <c r="Q22" s="416">
        <v>474</v>
      </c>
      <c r="R22" s="416">
        <v>219</v>
      </c>
      <c r="S22" s="416">
        <v>110</v>
      </c>
      <c r="T22" s="429">
        <v>124</v>
      </c>
      <c r="U22" s="416">
        <v>85</v>
      </c>
    </row>
    <row r="23" spans="1:21" s="119" customFormat="1" ht="19.5" customHeight="1">
      <c r="A23" s="120" t="s">
        <v>293</v>
      </c>
      <c r="B23" s="426">
        <f t="shared" si="1"/>
        <v>4158</v>
      </c>
      <c r="C23" s="416">
        <v>143</v>
      </c>
      <c r="D23" s="416">
        <v>830</v>
      </c>
      <c r="E23" s="416">
        <v>205</v>
      </c>
      <c r="F23" s="416">
        <v>96</v>
      </c>
      <c r="G23" s="416">
        <v>43</v>
      </c>
      <c r="H23" s="416">
        <v>78</v>
      </c>
      <c r="I23" s="416">
        <v>11</v>
      </c>
      <c r="J23" s="416">
        <v>506</v>
      </c>
      <c r="K23" s="416">
        <v>2134</v>
      </c>
      <c r="L23" s="416">
        <v>112</v>
      </c>
      <c r="M23" s="427" t="s">
        <v>650</v>
      </c>
      <c r="N23" s="416">
        <v>4417</v>
      </c>
      <c r="O23" s="416">
        <v>149</v>
      </c>
      <c r="P23" s="416">
        <v>724</v>
      </c>
      <c r="Q23" s="416">
        <v>344</v>
      </c>
      <c r="R23" s="416">
        <v>131</v>
      </c>
      <c r="S23" s="416">
        <v>59</v>
      </c>
      <c r="T23" s="429">
        <v>85</v>
      </c>
      <c r="U23" s="416">
        <v>98</v>
      </c>
    </row>
    <row r="24" spans="1:21" s="119" customFormat="1" ht="19.5" customHeight="1">
      <c r="A24" s="120" t="s">
        <v>294</v>
      </c>
      <c r="B24" s="426">
        <f t="shared" si="1"/>
        <v>8378</v>
      </c>
      <c r="C24" s="416">
        <v>300</v>
      </c>
      <c r="D24" s="416">
        <v>1437</v>
      </c>
      <c r="E24" s="416">
        <v>1075</v>
      </c>
      <c r="F24" s="416">
        <v>218</v>
      </c>
      <c r="G24" s="416">
        <v>155</v>
      </c>
      <c r="H24" s="416">
        <v>242</v>
      </c>
      <c r="I24" s="416">
        <v>22</v>
      </c>
      <c r="J24" s="416">
        <v>1428</v>
      </c>
      <c r="K24" s="416">
        <v>3231</v>
      </c>
      <c r="L24" s="416">
        <v>270</v>
      </c>
      <c r="M24" s="427" t="s">
        <v>650</v>
      </c>
      <c r="N24" s="416">
        <v>7591</v>
      </c>
      <c r="O24" s="416">
        <v>351</v>
      </c>
      <c r="P24" s="416">
        <v>1101</v>
      </c>
      <c r="Q24" s="416">
        <v>1048</v>
      </c>
      <c r="R24" s="416">
        <v>200</v>
      </c>
      <c r="S24" s="416">
        <v>122</v>
      </c>
      <c r="T24" s="429">
        <v>213</v>
      </c>
      <c r="U24" s="416">
        <v>74</v>
      </c>
    </row>
    <row r="25" spans="1:21" s="119" customFormat="1" ht="19.5" customHeight="1">
      <c r="A25" s="120" t="s">
        <v>295</v>
      </c>
      <c r="B25" s="426">
        <f t="shared" si="1"/>
        <v>3361</v>
      </c>
      <c r="C25" s="416">
        <v>70</v>
      </c>
      <c r="D25" s="416">
        <v>394</v>
      </c>
      <c r="E25" s="416">
        <v>179</v>
      </c>
      <c r="F25" s="416">
        <v>103</v>
      </c>
      <c r="G25" s="416">
        <v>54</v>
      </c>
      <c r="H25" s="416">
        <v>86</v>
      </c>
      <c r="I25" s="416">
        <v>13</v>
      </c>
      <c r="J25" s="416">
        <v>607</v>
      </c>
      <c r="K25" s="416">
        <v>1728</v>
      </c>
      <c r="L25" s="416">
        <v>127</v>
      </c>
      <c r="M25" s="427" t="s">
        <v>650</v>
      </c>
      <c r="N25" s="416">
        <v>3480</v>
      </c>
      <c r="O25" s="416">
        <v>87</v>
      </c>
      <c r="P25" s="416">
        <v>375</v>
      </c>
      <c r="Q25" s="416">
        <v>235</v>
      </c>
      <c r="R25" s="416">
        <v>89</v>
      </c>
      <c r="S25" s="416">
        <v>34</v>
      </c>
      <c r="T25" s="429">
        <v>83</v>
      </c>
      <c r="U25" s="416">
        <v>24</v>
      </c>
    </row>
    <row r="26" spans="1:21" s="119" customFormat="1" ht="19.5" customHeight="1">
      <c r="A26" s="120" t="s">
        <v>296</v>
      </c>
      <c r="B26" s="426">
        <f t="shared" si="1"/>
        <v>8560</v>
      </c>
      <c r="C26" s="416">
        <v>187</v>
      </c>
      <c r="D26" s="416">
        <v>3113</v>
      </c>
      <c r="E26" s="416">
        <v>674</v>
      </c>
      <c r="F26" s="416">
        <v>241</v>
      </c>
      <c r="G26" s="416">
        <v>140</v>
      </c>
      <c r="H26" s="416">
        <v>229</v>
      </c>
      <c r="I26" s="416">
        <v>19</v>
      </c>
      <c r="J26" s="416">
        <v>1306</v>
      </c>
      <c r="K26" s="416">
        <v>2411</v>
      </c>
      <c r="L26" s="416">
        <v>238</v>
      </c>
      <c r="M26" s="431">
        <v>2</v>
      </c>
      <c r="N26" s="416">
        <v>8818</v>
      </c>
      <c r="O26" s="416">
        <v>281</v>
      </c>
      <c r="P26" s="416">
        <v>2967</v>
      </c>
      <c r="Q26" s="416">
        <v>893</v>
      </c>
      <c r="R26" s="416">
        <v>213</v>
      </c>
      <c r="S26" s="416">
        <v>120</v>
      </c>
      <c r="T26" s="429">
        <v>158</v>
      </c>
      <c r="U26" s="416">
        <v>102</v>
      </c>
    </row>
    <row r="27" spans="1:21" s="119" customFormat="1" ht="19.5" customHeight="1">
      <c r="A27" s="120" t="s">
        <v>297</v>
      </c>
      <c r="B27" s="426">
        <f t="shared" si="1"/>
        <v>4827</v>
      </c>
      <c r="C27" s="416">
        <v>183</v>
      </c>
      <c r="D27" s="416">
        <v>758</v>
      </c>
      <c r="E27" s="416">
        <v>388</v>
      </c>
      <c r="F27" s="416">
        <v>147</v>
      </c>
      <c r="G27" s="416">
        <v>104</v>
      </c>
      <c r="H27" s="416">
        <v>160</v>
      </c>
      <c r="I27" s="416">
        <v>13</v>
      </c>
      <c r="J27" s="416">
        <v>1005</v>
      </c>
      <c r="K27" s="416">
        <v>1932</v>
      </c>
      <c r="L27" s="416">
        <v>137</v>
      </c>
      <c r="M27" s="427" t="s">
        <v>60</v>
      </c>
      <c r="N27" s="416">
        <v>5255</v>
      </c>
      <c r="O27" s="416">
        <v>243</v>
      </c>
      <c r="P27" s="416">
        <v>775</v>
      </c>
      <c r="Q27" s="416">
        <v>528</v>
      </c>
      <c r="R27" s="416">
        <v>188</v>
      </c>
      <c r="S27" s="416">
        <v>94</v>
      </c>
      <c r="T27" s="429">
        <v>154</v>
      </c>
      <c r="U27" s="416">
        <v>85</v>
      </c>
    </row>
    <row r="28" spans="1:21" s="119" customFormat="1" ht="19.5" customHeight="1">
      <c r="A28" s="120" t="s">
        <v>298</v>
      </c>
      <c r="B28" s="426">
        <f t="shared" si="1"/>
        <v>1578</v>
      </c>
      <c r="C28" s="416">
        <v>29</v>
      </c>
      <c r="D28" s="416">
        <v>179</v>
      </c>
      <c r="E28" s="416">
        <v>60</v>
      </c>
      <c r="F28" s="416">
        <v>28</v>
      </c>
      <c r="G28" s="416">
        <v>22</v>
      </c>
      <c r="H28" s="416">
        <v>30</v>
      </c>
      <c r="I28" s="429">
        <v>8</v>
      </c>
      <c r="J28" s="416">
        <v>277</v>
      </c>
      <c r="K28" s="416">
        <v>892</v>
      </c>
      <c r="L28" s="416">
        <v>53</v>
      </c>
      <c r="M28" s="427" t="s">
        <v>650</v>
      </c>
      <c r="N28" s="416">
        <v>1937</v>
      </c>
      <c r="O28" s="416">
        <v>39</v>
      </c>
      <c r="P28" s="416">
        <v>200</v>
      </c>
      <c r="Q28" s="416">
        <v>95</v>
      </c>
      <c r="R28" s="416">
        <v>34</v>
      </c>
      <c r="S28" s="416">
        <v>13</v>
      </c>
      <c r="T28" s="429">
        <v>29</v>
      </c>
      <c r="U28" s="416">
        <v>17</v>
      </c>
    </row>
    <row r="29" spans="1:21" s="119" customFormat="1" ht="19.5" customHeight="1">
      <c r="A29" s="120" t="s">
        <v>299</v>
      </c>
      <c r="B29" s="426">
        <f t="shared" si="1"/>
        <v>2831</v>
      </c>
      <c r="C29" s="416">
        <v>33</v>
      </c>
      <c r="D29" s="416">
        <v>314</v>
      </c>
      <c r="E29" s="416">
        <v>129</v>
      </c>
      <c r="F29" s="416">
        <v>65</v>
      </c>
      <c r="G29" s="416">
        <v>40</v>
      </c>
      <c r="H29" s="416">
        <v>70</v>
      </c>
      <c r="I29" s="416">
        <v>3</v>
      </c>
      <c r="J29" s="416">
        <v>334</v>
      </c>
      <c r="K29" s="416">
        <v>1757</v>
      </c>
      <c r="L29" s="416">
        <v>86</v>
      </c>
      <c r="M29" s="427" t="s">
        <v>650</v>
      </c>
      <c r="N29" s="416">
        <v>2363</v>
      </c>
      <c r="O29" s="416">
        <v>85</v>
      </c>
      <c r="P29" s="416">
        <v>299</v>
      </c>
      <c r="Q29" s="416">
        <v>136</v>
      </c>
      <c r="R29" s="416">
        <v>52</v>
      </c>
      <c r="S29" s="416">
        <v>43</v>
      </c>
      <c r="T29" s="429">
        <v>24</v>
      </c>
      <c r="U29" s="416">
        <v>21</v>
      </c>
    </row>
    <row r="30" spans="1:21" s="119" customFormat="1" ht="19.5" customHeight="1" thickBot="1">
      <c r="A30" s="121" t="s">
        <v>300</v>
      </c>
      <c r="B30" s="432">
        <f t="shared" si="1"/>
        <v>608</v>
      </c>
      <c r="C30" s="418">
        <v>4</v>
      </c>
      <c r="D30" s="418">
        <v>49</v>
      </c>
      <c r="E30" s="418">
        <v>7</v>
      </c>
      <c r="F30" s="418">
        <v>19</v>
      </c>
      <c r="G30" s="434" t="s">
        <v>60</v>
      </c>
      <c r="H30" s="418">
        <v>3</v>
      </c>
      <c r="I30" s="418">
        <v>3</v>
      </c>
      <c r="J30" s="418">
        <v>92</v>
      </c>
      <c r="K30" s="418">
        <v>422</v>
      </c>
      <c r="L30" s="418">
        <v>9</v>
      </c>
      <c r="M30" s="434" t="s">
        <v>650</v>
      </c>
      <c r="N30" s="435">
        <v>626</v>
      </c>
      <c r="O30" s="435">
        <v>9</v>
      </c>
      <c r="P30" s="435">
        <v>38</v>
      </c>
      <c r="Q30" s="435">
        <v>23</v>
      </c>
      <c r="R30" s="435">
        <v>25</v>
      </c>
      <c r="S30" s="435">
        <v>8</v>
      </c>
      <c r="T30" s="435">
        <v>18</v>
      </c>
      <c r="U30" s="434" t="s">
        <v>60</v>
      </c>
    </row>
    <row r="31" spans="1:21" s="22" customFormat="1" ht="15" customHeight="1">
      <c r="A31" s="203" t="s">
        <v>305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4" t="s">
        <v>680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22" customFormat="1" ht="15" customHeight="1">
      <c r="A32" s="205" t="s">
        <v>306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22" customFormat="1" ht="15" customHeight="1">
      <c r="A33" s="205" t="s">
        <v>307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</sheetData>
  <mergeCells count="13">
    <mergeCell ref="A4:A5"/>
    <mergeCell ref="A2:J2"/>
    <mergeCell ref="K2:U2"/>
    <mergeCell ref="N4:U4"/>
    <mergeCell ref="D5:I5"/>
    <mergeCell ref="P5:U5"/>
    <mergeCell ref="K4:M4"/>
    <mergeCell ref="B4:J4"/>
    <mergeCell ref="A6:A7"/>
    <mergeCell ref="J6:J7"/>
    <mergeCell ref="K6:K7"/>
    <mergeCell ref="O6:O7"/>
    <mergeCell ref="C6:C7"/>
  </mergeCells>
  <printOptions horizontalCentered="1"/>
  <pageMargins left="1.141732283464567" right="1.141732283464567" top="1.5748031496062993" bottom="1.5748031496062993" header="0.5118110236220472" footer="0.9055118110236221"/>
  <pageSetup firstPageNumber="3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120" zoomScaleNormal="120" zoomScaleSheetLayoutView="100" workbookViewId="0" topLeftCell="A1">
      <selection activeCell="B4" sqref="B4:E4"/>
    </sheetView>
  </sheetViews>
  <sheetFormatPr defaultColWidth="9.00390625" defaultRowHeight="21.75" customHeight="1"/>
  <cols>
    <col min="1" max="1" width="19.125" style="15" customWidth="1"/>
    <col min="2" max="2" width="11.625" style="13" customWidth="1"/>
    <col min="3" max="3" width="12.625" style="13" customWidth="1"/>
    <col min="4" max="4" width="7.625" style="13" customWidth="1"/>
    <col min="5" max="5" width="6.625" style="13" customWidth="1"/>
    <col min="6" max="7" width="8.625" style="13" customWidth="1"/>
    <col min="8" max="10" width="5.75390625" style="13" customWidth="1"/>
    <col min="11" max="11" width="7.625" style="13" customWidth="1"/>
    <col min="12" max="14" width="5.75390625" style="13" customWidth="1"/>
    <col min="15" max="15" width="7.625" style="13" customWidth="1"/>
    <col min="16" max="16" width="5.375" style="13" customWidth="1"/>
    <col min="17" max="17" width="7.125" style="13" customWidth="1"/>
    <col min="18" max="18" width="5.375" style="13" customWidth="1"/>
    <col min="19" max="19" width="7.125" style="51" customWidth="1"/>
    <col min="20" max="23" width="10.625" style="7" hidden="1" customWidth="1"/>
    <col min="24" max="16384" width="10.625" style="7" customWidth="1"/>
  </cols>
  <sheetData>
    <row r="1" spans="1:19" s="15" customFormat="1" ht="18" customHeight="1">
      <c r="A1" s="118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75" t="s">
        <v>142</v>
      </c>
    </row>
    <row r="2" spans="1:19" s="19" customFormat="1" ht="24.75" customHeight="1">
      <c r="A2" s="595" t="s">
        <v>351</v>
      </c>
      <c r="B2" s="596"/>
      <c r="C2" s="596"/>
      <c r="D2" s="596"/>
      <c r="E2" s="596"/>
      <c r="F2" s="596"/>
      <c r="G2" s="596"/>
      <c r="H2" s="596" t="s">
        <v>352</v>
      </c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</row>
    <row r="3" spans="1:19" ht="15.75" customHeight="1" thickBot="1">
      <c r="A3" s="1"/>
      <c r="B3" s="4"/>
      <c r="C3" s="4"/>
      <c r="D3" s="4"/>
      <c r="E3" s="55"/>
      <c r="F3" s="4"/>
      <c r="G3" s="126" t="s">
        <v>132</v>
      </c>
      <c r="H3" s="568"/>
      <c r="I3" s="568"/>
      <c r="J3" s="4"/>
      <c r="K3" s="4"/>
      <c r="L3" s="4"/>
      <c r="M3" s="4"/>
      <c r="N3" s="4"/>
      <c r="O3" s="4"/>
      <c r="P3" s="4"/>
      <c r="Q3" s="4"/>
      <c r="R3" s="4"/>
      <c r="S3" s="6" t="s">
        <v>257</v>
      </c>
    </row>
    <row r="4" spans="1:23" s="132" customFormat="1" ht="21.75" customHeight="1">
      <c r="A4" s="593" t="s">
        <v>324</v>
      </c>
      <c r="B4" s="598" t="s">
        <v>359</v>
      </c>
      <c r="C4" s="585"/>
      <c r="D4" s="585"/>
      <c r="E4" s="586"/>
      <c r="F4" s="559" t="s">
        <v>353</v>
      </c>
      <c r="G4" s="560"/>
      <c r="H4" s="569" t="s">
        <v>354</v>
      </c>
      <c r="I4" s="585"/>
      <c r="J4" s="586"/>
      <c r="K4" s="566" t="s">
        <v>355</v>
      </c>
      <c r="L4" s="587" t="s">
        <v>356</v>
      </c>
      <c r="M4" s="585"/>
      <c r="N4" s="586"/>
      <c r="O4" s="566" t="s">
        <v>682</v>
      </c>
      <c r="P4" s="599" t="s">
        <v>357</v>
      </c>
      <c r="Q4" s="600"/>
      <c r="R4" s="599" t="s">
        <v>358</v>
      </c>
      <c r="S4" s="601"/>
      <c r="T4" s="7"/>
      <c r="U4" s="7"/>
      <c r="V4" s="7"/>
      <c r="W4" s="7"/>
    </row>
    <row r="5" spans="1:19" ht="21.75" customHeight="1">
      <c r="A5" s="594"/>
      <c r="B5" s="213" t="s">
        <v>684</v>
      </c>
      <c r="C5" s="213" t="s">
        <v>685</v>
      </c>
      <c r="D5" s="85" t="s">
        <v>686</v>
      </c>
      <c r="E5" s="85" t="s">
        <v>687</v>
      </c>
      <c r="F5" s="561"/>
      <c r="G5" s="562"/>
      <c r="H5" s="563" t="s">
        <v>688</v>
      </c>
      <c r="I5" s="575" t="s">
        <v>689</v>
      </c>
      <c r="J5" s="575" t="s">
        <v>690</v>
      </c>
      <c r="K5" s="573"/>
      <c r="L5" s="575" t="s">
        <v>688</v>
      </c>
      <c r="M5" s="575" t="s">
        <v>689</v>
      </c>
      <c r="N5" s="575" t="s">
        <v>690</v>
      </c>
      <c r="O5" s="573"/>
      <c r="P5" s="575" t="s">
        <v>683</v>
      </c>
      <c r="Q5" s="574" t="s">
        <v>740</v>
      </c>
      <c r="R5" s="575" t="s">
        <v>683</v>
      </c>
      <c r="S5" s="570" t="s">
        <v>691</v>
      </c>
    </row>
    <row r="6" spans="1:19" ht="21.75" customHeight="1">
      <c r="A6" s="588" t="s">
        <v>692</v>
      </c>
      <c r="B6" s="565" t="s">
        <v>693</v>
      </c>
      <c r="C6" s="581" t="s">
        <v>694</v>
      </c>
      <c r="D6" s="581" t="s">
        <v>695</v>
      </c>
      <c r="E6" s="129"/>
      <c r="F6" s="214" t="s">
        <v>696</v>
      </c>
      <c r="G6" s="214" t="s">
        <v>697</v>
      </c>
      <c r="H6" s="564"/>
      <c r="I6" s="567"/>
      <c r="J6" s="567"/>
      <c r="K6" s="579" t="s">
        <v>698</v>
      </c>
      <c r="L6" s="567"/>
      <c r="M6" s="567"/>
      <c r="N6" s="567"/>
      <c r="O6" s="579" t="s">
        <v>699</v>
      </c>
      <c r="P6" s="573"/>
      <c r="Q6" s="581"/>
      <c r="R6" s="573"/>
      <c r="S6" s="571"/>
    </row>
    <row r="7" spans="1:19" ht="21.75" customHeight="1" thickBot="1">
      <c r="A7" s="589"/>
      <c r="B7" s="555"/>
      <c r="C7" s="590"/>
      <c r="D7" s="590"/>
      <c r="E7" s="130" t="s">
        <v>130</v>
      </c>
      <c r="F7" s="124" t="s">
        <v>700</v>
      </c>
      <c r="G7" s="124" t="s">
        <v>701</v>
      </c>
      <c r="H7" s="131" t="s">
        <v>702</v>
      </c>
      <c r="I7" s="124" t="s">
        <v>703</v>
      </c>
      <c r="J7" s="124" t="s">
        <v>704</v>
      </c>
      <c r="K7" s="580"/>
      <c r="L7" s="131" t="s">
        <v>702</v>
      </c>
      <c r="M7" s="124" t="s">
        <v>703</v>
      </c>
      <c r="N7" s="124" t="s">
        <v>704</v>
      </c>
      <c r="O7" s="580"/>
      <c r="P7" s="151" t="s">
        <v>705</v>
      </c>
      <c r="Q7" s="590"/>
      <c r="R7" s="151" t="s">
        <v>705</v>
      </c>
      <c r="S7" s="572"/>
    </row>
    <row r="8" spans="1:19" ht="20.25" customHeight="1">
      <c r="A8" s="137" t="s">
        <v>325</v>
      </c>
      <c r="B8" s="420">
        <v>33175</v>
      </c>
      <c r="C8" s="411">
        <v>52417</v>
      </c>
      <c r="D8" s="411">
        <v>15</v>
      </c>
      <c r="E8" s="411">
        <v>18</v>
      </c>
      <c r="F8" s="411">
        <v>67864</v>
      </c>
      <c r="G8" s="422">
        <v>67864</v>
      </c>
      <c r="H8" s="411">
        <v>22171</v>
      </c>
      <c r="I8" s="411">
        <v>11582</v>
      </c>
      <c r="J8" s="411">
        <v>10589</v>
      </c>
      <c r="K8" s="436">
        <v>12.47</v>
      </c>
      <c r="L8" s="411">
        <v>8482</v>
      </c>
      <c r="M8" s="411">
        <v>5600</v>
      </c>
      <c r="N8" s="411">
        <v>2882</v>
      </c>
      <c r="O8" s="437">
        <v>4.75</v>
      </c>
      <c r="P8" s="438">
        <v>15115</v>
      </c>
      <c r="Q8" s="439">
        <v>8.5</v>
      </c>
      <c r="R8" s="440">
        <v>5556</v>
      </c>
      <c r="S8" s="439">
        <v>3.13</v>
      </c>
    </row>
    <row r="9" spans="1:19" ht="20.25" customHeight="1">
      <c r="A9" s="137" t="s">
        <v>326</v>
      </c>
      <c r="B9" s="423">
        <v>30123</v>
      </c>
      <c r="C9" s="39">
        <v>50377</v>
      </c>
      <c r="D9" s="39">
        <v>5</v>
      </c>
      <c r="E9" s="39">
        <v>35</v>
      </c>
      <c r="F9" s="39">
        <v>67456</v>
      </c>
      <c r="G9" s="39">
        <v>67456</v>
      </c>
      <c r="H9" s="39">
        <v>20614</v>
      </c>
      <c r="I9" s="39">
        <v>10835</v>
      </c>
      <c r="J9" s="39">
        <v>9779</v>
      </c>
      <c r="K9" s="441">
        <v>11.41</v>
      </c>
      <c r="L9" s="39">
        <v>8675</v>
      </c>
      <c r="M9" s="39">
        <v>5692</v>
      </c>
      <c r="N9" s="39">
        <v>2983</v>
      </c>
      <c r="O9" s="442">
        <v>4.8</v>
      </c>
      <c r="P9" s="416">
        <v>15463</v>
      </c>
      <c r="Q9" s="443">
        <v>8.56</v>
      </c>
      <c r="R9" s="429">
        <v>5774</v>
      </c>
      <c r="S9" s="443">
        <v>3.19</v>
      </c>
    </row>
    <row r="10" spans="1:19" ht="20.25" customHeight="1">
      <c r="A10" s="137" t="s">
        <v>327</v>
      </c>
      <c r="B10" s="423">
        <v>29338</v>
      </c>
      <c r="C10" s="39">
        <v>54284</v>
      </c>
      <c r="D10" s="424" t="s">
        <v>60</v>
      </c>
      <c r="E10" s="39">
        <v>31</v>
      </c>
      <c r="F10" s="39">
        <v>75796</v>
      </c>
      <c r="G10" s="39">
        <v>75796</v>
      </c>
      <c r="H10" s="39">
        <v>19825</v>
      </c>
      <c r="I10" s="39">
        <v>10285</v>
      </c>
      <c r="J10" s="39">
        <v>9540</v>
      </c>
      <c r="K10" s="441">
        <v>10.788810330265484</v>
      </c>
      <c r="L10" s="39">
        <v>9081</v>
      </c>
      <c r="M10" s="39">
        <v>6021</v>
      </c>
      <c r="N10" s="39">
        <v>3060</v>
      </c>
      <c r="O10" s="442">
        <v>4.94</v>
      </c>
      <c r="P10" s="416">
        <v>11887</v>
      </c>
      <c r="Q10" s="443">
        <v>6.47</v>
      </c>
      <c r="R10" s="429">
        <v>5770</v>
      </c>
      <c r="S10" s="443">
        <v>3.14</v>
      </c>
    </row>
    <row r="11" spans="1:19" ht="20.25" customHeight="1">
      <c r="A11" s="137" t="s">
        <v>328</v>
      </c>
      <c r="B11" s="423">
        <v>32611</v>
      </c>
      <c r="C11" s="39">
        <v>55657</v>
      </c>
      <c r="D11" s="444" t="s">
        <v>60</v>
      </c>
      <c r="E11" s="39">
        <v>8192</v>
      </c>
      <c r="F11" s="39">
        <v>72402</v>
      </c>
      <c r="G11" s="39">
        <v>72402</v>
      </c>
      <c r="H11" s="39">
        <v>19338</v>
      </c>
      <c r="I11" s="39">
        <v>10080</v>
      </c>
      <c r="J11" s="39">
        <v>9258</v>
      </c>
      <c r="K11" s="441">
        <v>10.36</v>
      </c>
      <c r="L11" s="39">
        <v>9423</v>
      </c>
      <c r="M11" s="39">
        <v>6287</v>
      </c>
      <c r="N11" s="39">
        <v>3136</v>
      </c>
      <c r="O11" s="442">
        <v>5.05</v>
      </c>
      <c r="P11" s="416">
        <v>13167</v>
      </c>
      <c r="Q11" s="443">
        <v>7.05</v>
      </c>
      <c r="R11" s="429">
        <v>6016</v>
      </c>
      <c r="S11" s="443">
        <v>3.22</v>
      </c>
    </row>
    <row r="12" spans="1:23" ht="20.25" customHeight="1">
      <c r="A12" s="137" t="s">
        <v>329</v>
      </c>
      <c r="B12" s="423">
        <v>33825</v>
      </c>
      <c r="C12" s="39">
        <v>58466</v>
      </c>
      <c r="D12" s="444" t="s">
        <v>60</v>
      </c>
      <c r="E12" s="39">
        <v>53</v>
      </c>
      <c r="F12" s="39">
        <v>78738</v>
      </c>
      <c r="G12" s="39">
        <v>78738</v>
      </c>
      <c r="H12" s="39">
        <v>19205</v>
      </c>
      <c r="I12" s="39">
        <v>10129</v>
      </c>
      <c r="J12" s="39">
        <v>9076</v>
      </c>
      <c r="K12" s="441">
        <v>10.130616643592985</v>
      </c>
      <c r="L12" s="39">
        <v>9215</v>
      </c>
      <c r="M12" s="39">
        <v>6139</v>
      </c>
      <c r="N12" s="39">
        <v>3076</v>
      </c>
      <c r="O12" s="442">
        <v>4.860902492616994</v>
      </c>
      <c r="P12" s="416">
        <v>13307</v>
      </c>
      <c r="Q12" s="443">
        <v>7.019428048752505</v>
      </c>
      <c r="R12" s="429">
        <v>6376</v>
      </c>
      <c r="S12" s="443">
        <v>3.3633330757380304</v>
      </c>
      <c r="T12" s="167"/>
      <c r="U12" s="167">
        <f>5704/1968734*1000</f>
        <v>2.897293387527213</v>
      </c>
      <c r="V12" s="167"/>
      <c r="W12" s="167"/>
    </row>
    <row r="13" spans="1:23" ht="20.25" customHeight="1">
      <c r="A13" s="137" t="s">
        <v>330</v>
      </c>
      <c r="B13" s="423">
        <v>29388</v>
      </c>
      <c r="C13" s="39">
        <v>46041</v>
      </c>
      <c r="D13" s="444" t="s">
        <v>60</v>
      </c>
      <c r="E13" s="39">
        <v>57</v>
      </c>
      <c r="F13" s="39">
        <v>64030</v>
      </c>
      <c r="G13" s="39">
        <v>64030</v>
      </c>
      <c r="H13" s="39">
        <v>19435</v>
      </c>
      <c r="I13" s="39">
        <v>10207</v>
      </c>
      <c r="J13" s="39">
        <v>9228</v>
      </c>
      <c r="K13" s="441">
        <v>10.10626528647375</v>
      </c>
      <c r="L13" s="39">
        <v>9507</v>
      </c>
      <c r="M13" s="39">
        <v>6215</v>
      </c>
      <c r="N13" s="39">
        <v>3292</v>
      </c>
      <c r="O13" s="442">
        <v>4.943671936120707</v>
      </c>
      <c r="P13" s="416">
        <v>12512</v>
      </c>
      <c r="Q13" s="443">
        <v>6.506282030581918</v>
      </c>
      <c r="R13" s="429">
        <v>5981</v>
      </c>
      <c r="S13" s="443">
        <v>3.110140091504991</v>
      </c>
      <c r="T13" s="167"/>
      <c r="U13" s="167"/>
      <c r="V13" s="167"/>
      <c r="W13" s="167"/>
    </row>
    <row r="14" spans="1:23" ht="20.25" customHeight="1">
      <c r="A14" s="137" t="s">
        <v>331</v>
      </c>
      <c r="B14" s="423">
        <v>31151</v>
      </c>
      <c r="C14" s="39">
        <v>49134</v>
      </c>
      <c r="D14" s="445">
        <v>18</v>
      </c>
      <c r="E14" s="39">
        <v>36</v>
      </c>
      <c r="F14" s="39">
        <v>67650</v>
      </c>
      <c r="G14" s="39">
        <v>67650</v>
      </c>
      <c r="H14" s="39">
        <v>19180</v>
      </c>
      <c r="I14" s="39">
        <v>9968</v>
      </c>
      <c r="J14" s="39">
        <v>9212</v>
      </c>
      <c r="K14" s="441">
        <v>9.851928291522563</v>
      </c>
      <c r="L14" s="39">
        <v>9677</v>
      </c>
      <c r="M14" s="39">
        <v>6352</v>
      </c>
      <c r="N14" s="39">
        <v>3325</v>
      </c>
      <c r="O14" s="442">
        <v>4.970652245936593</v>
      </c>
      <c r="P14" s="416">
        <v>14591</v>
      </c>
      <c r="Q14" s="443">
        <v>7.494759421355878</v>
      </c>
      <c r="R14" s="429">
        <v>5609</v>
      </c>
      <c r="S14" s="443">
        <v>2.881098320497918</v>
      </c>
      <c r="T14" s="167"/>
      <c r="U14" s="167"/>
      <c r="V14" s="167"/>
      <c r="W14" s="167"/>
    </row>
    <row r="15" spans="1:19" ht="20.25" customHeight="1">
      <c r="A15" s="137" t="s">
        <v>332</v>
      </c>
      <c r="B15" s="426">
        <v>31126</v>
      </c>
      <c r="C15" s="416">
        <v>47943</v>
      </c>
      <c r="D15" s="431">
        <v>21</v>
      </c>
      <c r="E15" s="416">
        <v>24</v>
      </c>
      <c r="F15" s="416">
        <v>64888</v>
      </c>
      <c r="G15" s="416">
        <v>64888</v>
      </c>
      <c r="H15" s="416">
        <v>18515</v>
      </c>
      <c r="I15" s="416">
        <v>9612</v>
      </c>
      <c r="J15" s="416">
        <v>8903</v>
      </c>
      <c r="K15" s="441">
        <v>9.404520874836315</v>
      </c>
      <c r="L15" s="416">
        <v>9790</v>
      </c>
      <c r="M15" s="416">
        <v>6288</v>
      </c>
      <c r="N15" s="416">
        <v>3502</v>
      </c>
      <c r="O15" s="443">
        <v>4.9727388260679195</v>
      </c>
      <c r="P15" s="416">
        <v>10938</v>
      </c>
      <c r="Q15" s="443">
        <v>5.555854676152289</v>
      </c>
      <c r="R15" s="429">
        <v>5704</v>
      </c>
      <c r="S15" s="443">
        <v>2.897293387527213</v>
      </c>
    </row>
    <row r="16" spans="1:19" s="119" customFormat="1" ht="20.25" customHeight="1">
      <c r="A16" s="137" t="s">
        <v>333</v>
      </c>
      <c r="B16" s="426">
        <v>50924</v>
      </c>
      <c r="C16" s="416">
        <v>48873</v>
      </c>
      <c r="D16" s="431">
        <v>28</v>
      </c>
      <c r="E16" s="416">
        <v>38</v>
      </c>
      <c r="F16" s="416">
        <v>65455</v>
      </c>
      <c r="G16" s="416">
        <v>65455</v>
      </c>
      <c r="H16" s="416">
        <v>15838</v>
      </c>
      <c r="I16" s="416">
        <v>8302</v>
      </c>
      <c r="J16" s="416">
        <v>7536</v>
      </c>
      <c r="K16" s="441">
        <v>7.957110581128314</v>
      </c>
      <c r="L16" s="416">
        <v>10183</v>
      </c>
      <c r="M16" s="416">
        <v>6605</v>
      </c>
      <c r="N16" s="416">
        <v>3578</v>
      </c>
      <c r="O16" s="443">
        <v>5.116003096832278</v>
      </c>
      <c r="P16" s="416">
        <v>12926</v>
      </c>
      <c r="Q16" s="443">
        <v>6.49</v>
      </c>
      <c r="R16" s="429">
        <v>6126</v>
      </c>
      <c r="S16" s="443">
        <v>3.0777408397519923</v>
      </c>
    </row>
    <row r="17" spans="1:23" s="119" customFormat="1" ht="20.25" customHeight="1">
      <c r="A17" s="137" t="s">
        <v>334</v>
      </c>
      <c r="B17" s="426">
        <f aca="true" t="shared" si="0" ref="B17:J17">SUM(B18:B30)</f>
        <v>13736</v>
      </c>
      <c r="C17" s="416">
        <f t="shared" si="0"/>
        <v>46493</v>
      </c>
      <c r="D17" s="416">
        <f t="shared" si="0"/>
        <v>33</v>
      </c>
      <c r="E17" s="416">
        <f t="shared" si="0"/>
        <v>21</v>
      </c>
      <c r="F17" s="416">
        <f t="shared" si="0"/>
        <v>61384</v>
      </c>
      <c r="G17" s="416">
        <f t="shared" si="0"/>
        <v>61384</v>
      </c>
      <c r="H17" s="416">
        <f t="shared" si="0"/>
        <v>18041</v>
      </c>
      <c r="I17" s="416">
        <f t="shared" si="0"/>
        <v>9272</v>
      </c>
      <c r="J17" s="416">
        <f t="shared" si="0"/>
        <v>8769</v>
      </c>
      <c r="K17" s="443">
        <f aca="true" t="shared" si="1" ref="K17:K30">H17/W17*1000</f>
        <v>8.985982594359417</v>
      </c>
      <c r="L17" s="416">
        <f>SUM(L18:L30)</f>
        <v>10878</v>
      </c>
      <c r="M17" s="416">
        <f>SUM(M18:M30)</f>
        <v>7068</v>
      </c>
      <c r="N17" s="416">
        <f>SUM(N18:N30)</f>
        <v>3810</v>
      </c>
      <c r="O17" s="443">
        <f aca="true" t="shared" si="2" ref="O17:O30">L17/W17*1000</f>
        <v>5.418187387697008</v>
      </c>
      <c r="P17" s="416">
        <f>SUM(P18:P30)</f>
        <v>15525</v>
      </c>
      <c r="Q17" s="443">
        <f>P17/W17*1000</f>
        <v>7.7327963958444625</v>
      </c>
      <c r="R17" s="416">
        <f>SUM(R18:R30)</f>
        <v>5927</v>
      </c>
      <c r="S17" s="443">
        <f aca="true" t="shared" si="3" ref="S17:S30">R17/W17*1000</f>
        <v>2.9521600153410708</v>
      </c>
      <c r="T17" s="168"/>
      <c r="U17" s="169">
        <v>2013305</v>
      </c>
      <c r="V17" s="167">
        <v>2002060</v>
      </c>
      <c r="W17" s="167">
        <f aca="true" t="shared" si="4" ref="W17:W30">(U17+V17)/2</f>
        <v>2007682.5</v>
      </c>
    </row>
    <row r="18" spans="1:23" s="119" customFormat="1" ht="20.25" customHeight="1">
      <c r="A18" s="176" t="s">
        <v>335</v>
      </c>
      <c r="B18" s="426">
        <v>2504</v>
      </c>
      <c r="C18" s="416">
        <v>8464</v>
      </c>
      <c r="D18" s="431">
        <v>12</v>
      </c>
      <c r="E18" s="416">
        <v>9</v>
      </c>
      <c r="F18" s="416">
        <v>17527</v>
      </c>
      <c r="G18" s="429">
        <v>17527</v>
      </c>
      <c r="H18" s="416">
        <f aca="true" t="shared" si="5" ref="H18:H30">SUM(I18:J18)</f>
        <v>3517</v>
      </c>
      <c r="I18" s="416">
        <v>1797</v>
      </c>
      <c r="J18" s="416">
        <v>1720</v>
      </c>
      <c r="K18" s="443">
        <f t="shared" si="1"/>
        <v>8.609926508389599</v>
      </c>
      <c r="L18" s="416">
        <f aca="true" t="shared" si="6" ref="L18:L30">SUM(M18:N18)</f>
        <v>1820</v>
      </c>
      <c r="M18" s="429">
        <v>1135</v>
      </c>
      <c r="N18" s="416">
        <v>685</v>
      </c>
      <c r="O18" s="443">
        <f t="shared" si="2"/>
        <v>4.455520683897944</v>
      </c>
      <c r="P18" s="416">
        <v>3170</v>
      </c>
      <c r="Q18" s="443">
        <v>6.52</v>
      </c>
      <c r="R18" s="429">
        <v>1169</v>
      </c>
      <c r="S18" s="443">
        <f t="shared" si="3"/>
        <v>2.861815208503679</v>
      </c>
      <c r="T18" s="208" t="s">
        <v>311</v>
      </c>
      <c r="U18" s="170">
        <v>410113</v>
      </c>
      <c r="V18" s="167">
        <v>406851</v>
      </c>
      <c r="W18" s="167">
        <f t="shared" si="4"/>
        <v>408482</v>
      </c>
    </row>
    <row r="19" spans="1:23" s="119" customFormat="1" ht="20.25" customHeight="1">
      <c r="A19" s="176" t="s">
        <v>336</v>
      </c>
      <c r="B19" s="426">
        <v>2368</v>
      </c>
      <c r="C19" s="416">
        <v>8190</v>
      </c>
      <c r="D19" s="430">
        <v>2</v>
      </c>
      <c r="E19" s="39">
        <v>2</v>
      </c>
      <c r="F19" s="416">
        <v>13817</v>
      </c>
      <c r="G19" s="429">
        <v>13817</v>
      </c>
      <c r="H19" s="416">
        <f t="shared" si="5"/>
        <v>3184</v>
      </c>
      <c r="I19" s="416">
        <v>1613</v>
      </c>
      <c r="J19" s="416">
        <v>1571</v>
      </c>
      <c r="K19" s="443">
        <f t="shared" si="1"/>
        <v>8.579909161828565</v>
      </c>
      <c r="L19" s="416">
        <f t="shared" si="6"/>
        <v>2053</v>
      </c>
      <c r="M19" s="429">
        <v>1358</v>
      </c>
      <c r="N19" s="416">
        <v>695</v>
      </c>
      <c r="O19" s="443">
        <f t="shared" si="2"/>
        <v>5.532209016719236</v>
      </c>
      <c r="P19" s="416">
        <v>3029</v>
      </c>
      <c r="Q19" s="443">
        <v>6.98</v>
      </c>
      <c r="R19" s="429">
        <v>1126</v>
      </c>
      <c r="S19" s="443">
        <f t="shared" si="3"/>
        <v>3.0342266696667606</v>
      </c>
      <c r="T19" s="208" t="s">
        <v>312</v>
      </c>
      <c r="U19" s="170">
        <v>372429</v>
      </c>
      <c r="V19" s="167">
        <v>369770</v>
      </c>
      <c r="W19" s="167">
        <f t="shared" si="4"/>
        <v>371099.5</v>
      </c>
    </row>
    <row r="20" spans="1:23" s="119" customFormat="1" ht="20.25" customHeight="1">
      <c r="A20" s="176" t="s">
        <v>337</v>
      </c>
      <c r="B20" s="426">
        <v>1249</v>
      </c>
      <c r="C20" s="416">
        <v>6142</v>
      </c>
      <c r="D20" s="430">
        <v>2</v>
      </c>
      <c r="E20" s="416">
        <v>2</v>
      </c>
      <c r="F20" s="416">
        <v>5285</v>
      </c>
      <c r="G20" s="429">
        <v>5285</v>
      </c>
      <c r="H20" s="416">
        <f t="shared" si="5"/>
        <v>1801</v>
      </c>
      <c r="I20" s="416">
        <v>948</v>
      </c>
      <c r="J20" s="416">
        <v>853</v>
      </c>
      <c r="K20" s="443">
        <f t="shared" si="1"/>
        <v>8.658279209072685</v>
      </c>
      <c r="L20" s="416">
        <f t="shared" si="6"/>
        <v>1047</v>
      </c>
      <c r="M20" s="429">
        <v>693</v>
      </c>
      <c r="N20" s="416">
        <v>354</v>
      </c>
      <c r="O20" s="443">
        <f t="shared" si="2"/>
        <v>5.033436053247696</v>
      </c>
      <c r="P20" s="416">
        <v>1683</v>
      </c>
      <c r="Q20" s="443">
        <v>6.46</v>
      </c>
      <c r="R20" s="429">
        <v>620</v>
      </c>
      <c r="S20" s="443">
        <f t="shared" si="3"/>
        <v>2.980640260757948</v>
      </c>
      <c r="T20" s="208" t="s">
        <v>313</v>
      </c>
      <c r="U20" s="170">
        <v>208561</v>
      </c>
      <c r="V20" s="167">
        <v>207457</v>
      </c>
      <c r="W20" s="167">
        <f t="shared" si="4"/>
        <v>208009</v>
      </c>
    </row>
    <row r="21" spans="1:23" s="119" customFormat="1" ht="20.25" customHeight="1">
      <c r="A21" s="176" t="s">
        <v>338</v>
      </c>
      <c r="B21" s="426">
        <v>1129</v>
      </c>
      <c r="C21" s="416">
        <v>5140</v>
      </c>
      <c r="D21" s="430">
        <v>2</v>
      </c>
      <c r="E21" s="416">
        <v>2</v>
      </c>
      <c r="F21" s="416">
        <v>4327</v>
      </c>
      <c r="G21" s="429">
        <v>4327</v>
      </c>
      <c r="H21" s="416">
        <f t="shared" si="5"/>
        <v>1612</v>
      </c>
      <c r="I21" s="416">
        <v>823</v>
      </c>
      <c r="J21" s="416">
        <v>789</v>
      </c>
      <c r="K21" s="443">
        <f t="shared" si="1"/>
        <v>9.099556029725969</v>
      </c>
      <c r="L21" s="416">
        <f t="shared" si="6"/>
        <v>1034</v>
      </c>
      <c r="M21" s="429">
        <v>715</v>
      </c>
      <c r="N21" s="416">
        <v>319</v>
      </c>
      <c r="O21" s="443">
        <f t="shared" si="2"/>
        <v>5.836811994253506</v>
      </c>
      <c r="P21" s="416">
        <v>1458</v>
      </c>
      <c r="Q21" s="443">
        <v>6.89</v>
      </c>
      <c r="R21" s="429">
        <v>559</v>
      </c>
      <c r="S21" s="443">
        <f t="shared" si="3"/>
        <v>3.155491203856586</v>
      </c>
      <c r="T21" s="208" t="s">
        <v>314</v>
      </c>
      <c r="U21" s="170">
        <v>177435</v>
      </c>
      <c r="V21" s="167">
        <v>176868</v>
      </c>
      <c r="W21" s="167">
        <f t="shared" si="4"/>
        <v>177151.5</v>
      </c>
    </row>
    <row r="22" spans="1:23" s="119" customFormat="1" ht="20.25" customHeight="1">
      <c r="A22" s="176" t="s">
        <v>339</v>
      </c>
      <c r="B22" s="426">
        <v>1520</v>
      </c>
      <c r="C22" s="416">
        <v>2686</v>
      </c>
      <c r="D22" s="431">
        <v>4</v>
      </c>
      <c r="E22" s="39">
        <v>2</v>
      </c>
      <c r="F22" s="416">
        <v>4778</v>
      </c>
      <c r="G22" s="429">
        <v>4778</v>
      </c>
      <c r="H22" s="416">
        <f t="shared" si="5"/>
        <v>1492</v>
      </c>
      <c r="I22" s="416">
        <v>790</v>
      </c>
      <c r="J22" s="416">
        <v>702</v>
      </c>
      <c r="K22" s="443">
        <f t="shared" si="1"/>
        <v>9.836270919381475</v>
      </c>
      <c r="L22" s="416">
        <f t="shared" si="6"/>
        <v>813</v>
      </c>
      <c r="M22" s="429">
        <v>516</v>
      </c>
      <c r="N22" s="416">
        <v>297</v>
      </c>
      <c r="O22" s="443">
        <f t="shared" si="2"/>
        <v>5.3598446765798515</v>
      </c>
      <c r="P22" s="416">
        <v>1169</v>
      </c>
      <c r="Q22" s="443">
        <v>6.03</v>
      </c>
      <c r="R22" s="429">
        <v>459</v>
      </c>
      <c r="S22" s="443">
        <f t="shared" si="3"/>
        <v>3.026037769434381</v>
      </c>
      <c r="T22" s="208" t="s">
        <v>315</v>
      </c>
      <c r="U22" s="170">
        <v>152441</v>
      </c>
      <c r="V22" s="167">
        <v>150926</v>
      </c>
      <c r="W22" s="167">
        <f t="shared" si="4"/>
        <v>151683.5</v>
      </c>
    </row>
    <row r="23" spans="1:23" s="119" customFormat="1" ht="20.25" customHeight="1">
      <c r="A23" s="176" t="s">
        <v>340</v>
      </c>
      <c r="B23" s="426">
        <v>531</v>
      </c>
      <c r="C23" s="416">
        <v>2296</v>
      </c>
      <c r="D23" s="444" t="s">
        <v>60</v>
      </c>
      <c r="E23" s="444" t="s">
        <v>60</v>
      </c>
      <c r="F23" s="416">
        <v>1938</v>
      </c>
      <c r="G23" s="429">
        <v>1938</v>
      </c>
      <c r="H23" s="416">
        <f t="shared" si="5"/>
        <v>782</v>
      </c>
      <c r="I23" s="416">
        <v>413</v>
      </c>
      <c r="J23" s="416">
        <v>369</v>
      </c>
      <c r="K23" s="443">
        <f t="shared" si="1"/>
        <v>8.497229164402912</v>
      </c>
      <c r="L23" s="416">
        <f t="shared" si="6"/>
        <v>625</v>
      </c>
      <c r="M23" s="429">
        <v>428</v>
      </c>
      <c r="N23" s="416">
        <v>197</v>
      </c>
      <c r="O23" s="443">
        <f t="shared" si="2"/>
        <v>6.791263718352711</v>
      </c>
      <c r="P23" s="416">
        <v>630</v>
      </c>
      <c r="Q23" s="443">
        <v>6.16</v>
      </c>
      <c r="R23" s="429">
        <v>255</v>
      </c>
      <c r="S23" s="443">
        <f t="shared" si="3"/>
        <v>2.770835597087906</v>
      </c>
      <c r="T23" s="208" t="s">
        <v>316</v>
      </c>
      <c r="U23" s="170">
        <v>91979</v>
      </c>
      <c r="V23" s="167">
        <v>92081</v>
      </c>
      <c r="W23" s="167">
        <f t="shared" si="4"/>
        <v>92030</v>
      </c>
    </row>
    <row r="24" spans="1:23" s="119" customFormat="1" ht="20.25" customHeight="1">
      <c r="A24" s="176" t="s">
        <v>341</v>
      </c>
      <c r="B24" s="426">
        <v>1052</v>
      </c>
      <c r="C24" s="416">
        <v>3430</v>
      </c>
      <c r="D24" s="444" t="s">
        <v>60</v>
      </c>
      <c r="E24" s="444" t="s">
        <v>60</v>
      </c>
      <c r="F24" s="416">
        <v>3466</v>
      </c>
      <c r="G24" s="429">
        <v>3466</v>
      </c>
      <c r="H24" s="416">
        <f t="shared" si="5"/>
        <v>1547</v>
      </c>
      <c r="I24" s="416">
        <v>796</v>
      </c>
      <c r="J24" s="416">
        <v>751</v>
      </c>
      <c r="K24" s="443">
        <f t="shared" si="1"/>
        <v>10.81795486807969</v>
      </c>
      <c r="L24" s="416">
        <f t="shared" si="6"/>
        <v>568</v>
      </c>
      <c r="M24" s="416">
        <v>344</v>
      </c>
      <c r="N24" s="416">
        <v>224</v>
      </c>
      <c r="O24" s="443">
        <f t="shared" si="2"/>
        <v>3.9719446445179476</v>
      </c>
      <c r="P24" s="416">
        <v>1108</v>
      </c>
      <c r="Q24" s="443">
        <v>6.56</v>
      </c>
      <c r="R24" s="429">
        <v>423</v>
      </c>
      <c r="S24" s="443">
        <f t="shared" si="3"/>
        <v>2.957979902519528</v>
      </c>
      <c r="T24" s="208" t="s">
        <v>317</v>
      </c>
      <c r="U24" s="170">
        <v>143886</v>
      </c>
      <c r="V24" s="167">
        <v>142120</v>
      </c>
      <c r="W24" s="167">
        <f t="shared" si="4"/>
        <v>143003</v>
      </c>
    </row>
    <row r="25" spans="1:23" s="119" customFormat="1" ht="20.25" customHeight="1">
      <c r="A25" s="176" t="s">
        <v>342</v>
      </c>
      <c r="B25" s="426">
        <v>489</v>
      </c>
      <c r="C25" s="416">
        <v>2061</v>
      </c>
      <c r="D25" s="39">
        <v>2</v>
      </c>
      <c r="E25" s="39">
        <v>1</v>
      </c>
      <c r="F25" s="416">
        <v>1489</v>
      </c>
      <c r="G25" s="429">
        <v>1489</v>
      </c>
      <c r="H25" s="416">
        <f t="shared" si="5"/>
        <v>781</v>
      </c>
      <c r="I25" s="416">
        <v>384</v>
      </c>
      <c r="J25" s="416">
        <v>397</v>
      </c>
      <c r="K25" s="443">
        <f t="shared" si="1"/>
        <v>9.518470219741381</v>
      </c>
      <c r="L25" s="416">
        <f t="shared" si="6"/>
        <v>492</v>
      </c>
      <c r="M25" s="429">
        <v>293</v>
      </c>
      <c r="N25" s="416">
        <v>199</v>
      </c>
      <c r="O25" s="443">
        <f t="shared" si="2"/>
        <v>5.996270612180229</v>
      </c>
      <c r="P25" s="416">
        <v>607</v>
      </c>
      <c r="Q25" s="443">
        <v>5.84</v>
      </c>
      <c r="R25" s="429">
        <v>203</v>
      </c>
      <c r="S25" s="443">
        <f t="shared" si="3"/>
        <v>2.4740710046190784</v>
      </c>
      <c r="T25" s="208" t="s">
        <v>318</v>
      </c>
      <c r="U25" s="170">
        <v>82136</v>
      </c>
      <c r="V25" s="167">
        <v>81966</v>
      </c>
      <c r="W25" s="167">
        <f t="shared" si="4"/>
        <v>82051</v>
      </c>
    </row>
    <row r="26" spans="1:23" s="119" customFormat="1" ht="20.25" customHeight="1">
      <c r="A26" s="176" t="s">
        <v>343</v>
      </c>
      <c r="B26" s="426">
        <v>1148</v>
      </c>
      <c r="C26" s="416">
        <v>2929</v>
      </c>
      <c r="D26" s="39">
        <v>5</v>
      </c>
      <c r="E26" s="416">
        <v>2</v>
      </c>
      <c r="F26" s="416">
        <v>3215</v>
      </c>
      <c r="G26" s="429">
        <v>3215</v>
      </c>
      <c r="H26" s="416">
        <f t="shared" si="5"/>
        <v>1382</v>
      </c>
      <c r="I26" s="416">
        <v>693</v>
      </c>
      <c r="J26" s="416">
        <v>689</v>
      </c>
      <c r="K26" s="443">
        <f t="shared" si="1"/>
        <v>10.001773107388793</v>
      </c>
      <c r="L26" s="416">
        <f t="shared" si="6"/>
        <v>765</v>
      </c>
      <c r="M26" s="429">
        <v>526</v>
      </c>
      <c r="N26" s="416">
        <v>239</v>
      </c>
      <c r="O26" s="443">
        <f t="shared" si="2"/>
        <v>5.536437356839672</v>
      </c>
      <c r="P26" s="416">
        <v>1140</v>
      </c>
      <c r="Q26" s="443">
        <v>7.05</v>
      </c>
      <c r="R26" s="429">
        <v>431</v>
      </c>
      <c r="S26" s="443">
        <f t="shared" si="3"/>
        <v>3.1192215696704553</v>
      </c>
      <c r="T26" s="208" t="s">
        <v>319</v>
      </c>
      <c r="U26" s="170">
        <v>138355</v>
      </c>
      <c r="V26" s="167">
        <v>137996</v>
      </c>
      <c r="W26" s="167">
        <f t="shared" si="4"/>
        <v>138175.5</v>
      </c>
    </row>
    <row r="27" spans="1:23" s="119" customFormat="1" ht="20.25" customHeight="1">
      <c r="A27" s="176" t="s">
        <v>344</v>
      </c>
      <c r="B27" s="426">
        <v>990</v>
      </c>
      <c r="C27" s="416">
        <v>2196</v>
      </c>
      <c r="D27" s="430">
        <v>2</v>
      </c>
      <c r="E27" s="444" t="s">
        <v>60</v>
      </c>
      <c r="F27" s="416">
        <v>3743</v>
      </c>
      <c r="G27" s="429">
        <v>3743</v>
      </c>
      <c r="H27" s="416">
        <f t="shared" si="5"/>
        <v>919</v>
      </c>
      <c r="I27" s="416">
        <v>480</v>
      </c>
      <c r="J27" s="416">
        <v>439</v>
      </c>
      <c r="K27" s="443">
        <f t="shared" si="1"/>
        <v>7.986998313952477</v>
      </c>
      <c r="L27" s="416">
        <f t="shared" si="6"/>
        <v>699</v>
      </c>
      <c r="M27" s="429">
        <v>461</v>
      </c>
      <c r="N27" s="416">
        <v>238</v>
      </c>
      <c r="O27" s="443">
        <f t="shared" si="2"/>
        <v>6.074985659905095</v>
      </c>
      <c r="P27" s="416">
        <v>811</v>
      </c>
      <c r="Q27" s="443">
        <v>6.11</v>
      </c>
      <c r="R27" s="429">
        <v>355</v>
      </c>
      <c r="S27" s="443">
        <f t="shared" si="3"/>
        <v>3.085293146303732</v>
      </c>
      <c r="T27" s="208" t="s">
        <v>320</v>
      </c>
      <c r="U27" s="170">
        <v>114958</v>
      </c>
      <c r="V27" s="167">
        <v>115166</v>
      </c>
      <c r="W27" s="167">
        <f t="shared" si="4"/>
        <v>115062</v>
      </c>
    </row>
    <row r="28" spans="1:23" s="119" customFormat="1" ht="20.25" customHeight="1">
      <c r="A28" s="176" t="s">
        <v>345</v>
      </c>
      <c r="B28" s="426">
        <v>352</v>
      </c>
      <c r="C28" s="416">
        <v>1157</v>
      </c>
      <c r="D28" s="445">
        <v>1</v>
      </c>
      <c r="E28" s="444" t="s">
        <v>60</v>
      </c>
      <c r="F28" s="416">
        <v>651</v>
      </c>
      <c r="G28" s="429">
        <v>651</v>
      </c>
      <c r="H28" s="416">
        <f t="shared" si="5"/>
        <v>304</v>
      </c>
      <c r="I28" s="416">
        <v>158</v>
      </c>
      <c r="J28" s="416">
        <v>146</v>
      </c>
      <c r="K28" s="443">
        <f t="shared" si="1"/>
        <v>6.219058140010638</v>
      </c>
      <c r="L28" s="416">
        <f t="shared" si="6"/>
        <v>405</v>
      </c>
      <c r="M28" s="429">
        <v>245</v>
      </c>
      <c r="N28" s="429">
        <v>160</v>
      </c>
      <c r="O28" s="443">
        <f t="shared" si="2"/>
        <v>8.285258377316802</v>
      </c>
      <c r="P28" s="416">
        <v>284</v>
      </c>
      <c r="Q28" s="443">
        <v>5.15</v>
      </c>
      <c r="R28" s="429">
        <v>118</v>
      </c>
      <c r="S28" s="443">
        <f t="shared" si="3"/>
        <v>2.4139765148725503</v>
      </c>
      <c r="T28" s="210" t="s">
        <v>321</v>
      </c>
      <c r="U28" s="170">
        <v>48652</v>
      </c>
      <c r="V28" s="167">
        <v>49112</v>
      </c>
      <c r="W28" s="167">
        <f t="shared" si="4"/>
        <v>48882</v>
      </c>
    </row>
    <row r="29" spans="1:23" s="119" customFormat="1" ht="20.25" customHeight="1">
      <c r="A29" s="176" t="s">
        <v>346</v>
      </c>
      <c r="B29" s="426">
        <v>306</v>
      </c>
      <c r="C29" s="416">
        <v>1395</v>
      </c>
      <c r="D29" s="39">
        <v>1</v>
      </c>
      <c r="E29" s="39">
        <v>1</v>
      </c>
      <c r="F29" s="416">
        <v>1079</v>
      </c>
      <c r="G29" s="429">
        <v>1079</v>
      </c>
      <c r="H29" s="416">
        <f t="shared" si="5"/>
        <v>557</v>
      </c>
      <c r="I29" s="416">
        <v>282</v>
      </c>
      <c r="J29" s="416">
        <v>275</v>
      </c>
      <c r="K29" s="443">
        <f t="shared" si="1"/>
        <v>9.075134619927823</v>
      </c>
      <c r="L29" s="416">
        <f t="shared" si="6"/>
        <v>426</v>
      </c>
      <c r="M29" s="429">
        <v>270</v>
      </c>
      <c r="N29" s="429">
        <v>156</v>
      </c>
      <c r="O29" s="443">
        <f t="shared" si="2"/>
        <v>6.940767231758084</v>
      </c>
      <c r="P29" s="416">
        <v>374</v>
      </c>
      <c r="Q29" s="443">
        <v>5.07</v>
      </c>
      <c r="R29" s="429">
        <v>175</v>
      </c>
      <c r="S29" s="443">
        <f t="shared" si="3"/>
        <v>2.85125414450156</v>
      </c>
      <c r="T29" s="209" t="s">
        <v>322</v>
      </c>
      <c r="U29" s="171">
        <v>61676</v>
      </c>
      <c r="V29" s="167">
        <v>61077</v>
      </c>
      <c r="W29" s="167">
        <f t="shared" si="4"/>
        <v>61376.5</v>
      </c>
    </row>
    <row r="30" spans="1:23" s="119" customFormat="1" ht="20.25" customHeight="1" thickBot="1">
      <c r="A30" s="121" t="s">
        <v>300</v>
      </c>
      <c r="B30" s="432">
        <v>98</v>
      </c>
      <c r="C30" s="418">
        <v>407</v>
      </c>
      <c r="D30" s="434" t="s">
        <v>60</v>
      </c>
      <c r="E30" s="434" t="s">
        <v>60</v>
      </c>
      <c r="F30" s="435">
        <v>69</v>
      </c>
      <c r="G30" s="435">
        <v>69</v>
      </c>
      <c r="H30" s="418">
        <f t="shared" si="5"/>
        <v>163</v>
      </c>
      <c r="I30" s="418">
        <v>95</v>
      </c>
      <c r="J30" s="418">
        <v>68</v>
      </c>
      <c r="K30" s="446">
        <f t="shared" si="1"/>
        <v>15.26646061627798</v>
      </c>
      <c r="L30" s="418">
        <f t="shared" si="6"/>
        <v>131</v>
      </c>
      <c r="M30" s="435">
        <v>84</v>
      </c>
      <c r="N30" s="418">
        <v>47</v>
      </c>
      <c r="O30" s="446">
        <f t="shared" si="2"/>
        <v>12.269364053573101</v>
      </c>
      <c r="P30" s="435">
        <v>62</v>
      </c>
      <c r="Q30" s="446">
        <v>7.52</v>
      </c>
      <c r="R30" s="435">
        <v>34</v>
      </c>
      <c r="S30" s="446">
        <f t="shared" si="3"/>
        <v>3.1844150978739347</v>
      </c>
      <c r="T30" s="209" t="s">
        <v>323</v>
      </c>
      <c r="U30" s="171">
        <v>10684</v>
      </c>
      <c r="V30" s="167">
        <v>10670</v>
      </c>
      <c r="W30" s="167">
        <f t="shared" si="4"/>
        <v>10677</v>
      </c>
    </row>
    <row r="31" spans="1:23" s="194" customFormat="1" ht="15" customHeight="1">
      <c r="A31" s="211" t="s">
        <v>347</v>
      </c>
      <c r="B31" s="127"/>
      <c r="C31" s="127"/>
      <c r="D31" s="127"/>
      <c r="E31" s="127"/>
      <c r="F31" s="127"/>
      <c r="G31" s="127"/>
      <c r="H31" s="194" t="s">
        <v>348</v>
      </c>
      <c r="I31" s="127"/>
      <c r="J31" s="127"/>
      <c r="S31" s="195"/>
      <c r="T31" s="7"/>
      <c r="U31" s="7"/>
      <c r="V31" s="7"/>
      <c r="W31" s="7"/>
    </row>
    <row r="32" spans="1:23" s="194" customFormat="1" ht="15" customHeight="1">
      <c r="A32" s="211" t="s">
        <v>349</v>
      </c>
      <c r="B32" s="212"/>
      <c r="C32" s="212"/>
      <c r="D32" s="212"/>
      <c r="E32" s="212"/>
      <c r="F32" s="212"/>
      <c r="G32" s="212"/>
      <c r="H32" s="194" t="s">
        <v>350</v>
      </c>
      <c r="I32" s="212"/>
      <c r="J32" s="212"/>
      <c r="S32" s="195"/>
      <c r="T32" s="7"/>
      <c r="U32" s="7"/>
      <c r="V32" s="7"/>
      <c r="W32" s="7"/>
    </row>
    <row r="33" ht="21.75" customHeight="1">
      <c r="A33" s="21"/>
    </row>
  </sheetData>
  <mergeCells count="28">
    <mergeCell ref="C6:C7"/>
    <mergeCell ref="N5:N6"/>
    <mergeCell ref="H2:S2"/>
    <mergeCell ref="A2:G2"/>
    <mergeCell ref="O6:O7"/>
    <mergeCell ref="F4:G5"/>
    <mergeCell ref="H5:H6"/>
    <mergeCell ref="L4:N4"/>
    <mergeCell ref="D6:D7"/>
    <mergeCell ref="B6:B7"/>
    <mergeCell ref="M5:M6"/>
    <mergeCell ref="H3:I3"/>
    <mergeCell ref="J5:J6"/>
    <mergeCell ref="L5:L6"/>
    <mergeCell ref="K4:K5"/>
    <mergeCell ref="K6:K7"/>
    <mergeCell ref="H4:J4"/>
    <mergeCell ref="I5:I6"/>
    <mergeCell ref="A4:A5"/>
    <mergeCell ref="B4:E4"/>
    <mergeCell ref="P4:Q4"/>
    <mergeCell ref="R4:S4"/>
    <mergeCell ref="P5:P6"/>
    <mergeCell ref="Q5:Q7"/>
    <mergeCell ref="R5:R6"/>
    <mergeCell ref="S5:S7"/>
    <mergeCell ref="A6:A7"/>
    <mergeCell ref="O4:O5"/>
  </mergeCells>
  <printOptions/>
  <pageMargins left="1.1811023622047245" right="1.1811023622047245" top="1.5748031496062993" bottom="1.5748031496062993" header="0.5118110236220472" footer="0.9055118110236221"/>
  <pageSetup firstPageNumber="3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0.125" style="123" customWidth="1"/>
    <col min="2" max="2" width="5.625" style="15" customWidth="1"/>
    <col min="3" max="3" width="7.125" style="13" customWidth="1"/>
    <col min="4" max="10" width="6.50390625" style="13" customWidth="1"/>
    <col min="11" max="11" width="6.375" style="13" customWidth="1"/>
    <col min="12" max="23" width="5.625" style="13" customWidth="1"/>
    <col min="24" max="24" width="7.625" style="13" customWidth="1"/>
    <col min="25" max="16384" width="10.625" style="7" customWidth="1"/>
  </cols>
  <sheetData>
    <row r="1" spans="1:24" s="15" customFormat="1" ht="18" customHeight="1">
      <c r="A1" s="118" t="s">
        <v>131</v>
      </c>
      <c r="B1" s="2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75" t="s">
        <v>142</v>
      </c>
    </row>
    <row r="2" spans="1:24" s="30" customFormat="1" ht="24.75" customHeight="1">
      <c r="A2" s="595" t="s">
        <v>388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596" t="s">
        <v>389</v>
      </c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</row>
    <row r="3" spans="1:24" ht="15" customHeight="1" thickBot="1">
      <c r="A3" s="26"/>
      <c r="B3" s="1"/>
      <c r="C3" s="4"/>
      <c r="D3" s="4"/>
      <c r="E3" s="4"/>
      <c r="F3" s="4"/>
      <c r="G3" s="4"/>
      <c r="H3" s="4"/>
      <c r="I3" s="4"/>
      <c r="J3" s="4"/>
      <c r="K3" s="126" t="s">
        <v>132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257</v>
      </c>
    </row>
    <row r="4" spans="1:24" s="20" customFormat="1" ht="27.75" customHeight="1">
      <c r="A4" s="216" t="s">
        <v>164</v>
      </c>
      <c r="B4" s="217" t="s">
        <v>121</v>
      </c>
      <c r="C4" s="215" t="s">
        <v>165</v>
      </c>
      <c r="D4" s="218" t="s">
        <v>211</v>
      </c>
      <c r="E4" s="140" t="s">
        <v>212</v>
      </c>
      <c r="F4" s="140" t="s">
        <v>213</v>
      </c>
      <c r="G4" s="140" t="s">
        <v>214</v>
      </c>
      <c r="H4" s="66" t="s">
        <v>215</v>
      </c>
      <c r="I4" s="66" t="s">
        <v>216</v>
      </c>
      <c r="J4" s="66" t="s">
        <v>217</v>
      </c>
      <c r="K4" s="140" t="s">
        <v>218</v>
      </c>
      <c r="L4" s="66" t="s">
        <v>219</v>
      </c>
      <c r="M4" s="140" t="s">
        <v>220</v>
      </c>
      <c r="N4" s="66" t="s">
        <v>221</v>
      </c>
      <c r="O4" s="66" t="s">
        <v>222</v>
      </c>
      <c r="P4" s="66" t="s">
        <v>223</v>
      </c>
      <c r="Q4" s="66" t="s">
        <v>224</v>
      </c>
      <c r="R4" s="66" t="s">
        <v>225</v>
      </c>
      <c r="S4" s="140" t="s">
        <v>226</v>
      </c>
      <c r="T4" s="140" t="s">
        <v>360</v>
      </c>
      <c r="U4" s="66" t="s">
        <v>361</v>
      </c>
      <c r="V4" s="140" t="s">
        <v>362</v>
      </c>
      <c r="W4" s="140" t="s">
        <v>363</v>
      </c>
      <c r="X4" s="218" t="s">
        <v>364</v>
      </c>
    </row>
    <row r="5" spans="1:24" s="27" customFormat="1" ht="27.75" customHeight="1" thickBot="1">
      <c r="A5" s="219" t="s">
        <v>706</v>
      </c>
      <c r="B5" s="220" t="s">
        <v>707</v>
      </c>
      <c r="C5" s="151" t="s">
        <v>708</v>
      </c>
      <c r="D5" s="151" t="s">
        <v>709</v>
      </c>
      <c r="E5" s="151" t="s">
        <v>710</v>
      </c>
      <c r="F5" s="151" t="s">
        <v>711</v>
      </c>
      <c r="G5" s="151" t="s">
        <v>712</v>
      </c>
      <c r="H5" s="31" t="s">
        <v>713</v>
      </c>
      <c r="I5" s="31" t="s">
        <v>714</v>
      </c>
      <c r="J5" s="31" t="s">
        <v>715</v>
      </c>
      <c r="K5" s="151" t="s">
        <v>716</v>
      </c>
      <c r="L5" s="31" t="s">
        <v>717</v>
      </c>
      <c r="M5" s="151" t="s">
        <v>718</v>
      </c>
      <c r="N5" s="31" t="s">
        <v>719</v>
      </c>
      <c r="O5" s="31" t="s">
        <v>720</v>
      </c>
      <c r="P5" s="31" t="s">
        <v>721</v>
      </c>
      <c r="Q5" s="31" t="s">
        <v>722</v>
      </c>
      <c r="R5" s="31" t="s">
        <v>723</v>
      </c>
      <c r="S5" s="151" t="s">
        <v>724</v>
      </c>
      <c r="T5" s="151" t="s">
        <v>725</v>
      </c>
      <c r="U5" s="31" t="s">
        <v>726</v>
      </c>
      <c r="V5" s="151" t="s">
        <v>727</v>
      </c>
      <c r="W5" s="151" t="s">
        <v>728</v>
      </c>
      <c r="X5" s="534" t="s">
        <v>729</v>
      </c>
    </row>
    <row r="6" spans="1:24" s="22" customFormat="1" ht="0.75" customHeight="1">
      <c r="A6" s="23"/>
      <c r="B6" s="28"/>
      <c r="C6" s="448"/>
      <c r="D6" s="449"/>
      <c r="E6" s="450"/>
      <c r="F6" s="450"/>
      <c r="G6" s="450"/>
      <c r="H6" s="450"/>
      <c r="I6" s="450"/>
      <c r="J6" s="450"/>
      <c r="K6" s="451"/>
      <c r="L6" s="451"/>
      <c r="M6" s="449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1"/>
    </row>
    <row r="7" spans="1:24" s="22" customFormat="1" ht="18.75" customHeight="1">
      <c r="A7" s="556" t="s">
        <v>730</v>
      </c>
      <c r="B7" s="241" t="s">
        <v>452</v>
      </c>
      <c r="C7" s="54">
        <f>SUM(D7:X7)</f>
        <v>1792603</v>
      </c>
      <c r="D7" s="425">
        <v>123246</v>
      </c>
      <c r="E7" s="39">
        <v>151342</v>
      </c>
      <c r="F7" s="39">
        <v>145219</v>
      </c>
      <c r="G7" s="39">
        <v>138766</v>
      </c>
      <c r="H7" s="39">
        <v>157546</v>
      </c>
      <c r="I7" s="39">
        <v>146824</v>
      </c>
      <c r="J7" s="39">
        <v>157665</v>
      </c>
      <c r="K7" s="425">
        <v>162217</v>
      </c>
      <c r="L7" s="428">
        <v>150814</v>
      </c>
      <c r="M7" s="425">
        <v>127571</v>
      </c>
      <c r="N7" s="39">
        <v>93758</v>
      </c>
      <c r="O7" s="39">
        <v>54170</v>
      </c>
      <c r="P7" s="39">
        <v>48804</v>
      </c>
      <c r="Q7" s="39">
        <v>38186</v>
      </c>
      <c r="R7" s="39">
        <v>42654</v>
      </c>
      <c r="S7" s="39">
        <v>30910</v>
      </c>
      <c r="T7" s="39">
        <v>14519</v>
      </c>
      <c r="U7" s="39">
        <v>6085</v>
      </c>
      <c r="V7" s="39">
        <v>1855</v>
      </c>
      <c r="W7" s="39">
        <v>369</v>
      </c>
      <c r="X7" s="425">
        <v>83</v>
      </c>
    </row>
    <row r="8" spans="1:24" s="22" customFormat="1" ht="18.75" customHeight="1">
      <c r="A8" s="557"/>
      <c r="B8" s="241" t="s">
        <v>453</v>
      </c>
      <c r="C8" s="54">
        <f aca="true" t="shared" si="0" ref="C8:C33">SUM(D8:X8)</f>
        <v>918152</v>
      </c>
      <c r="D8" s="425">
        <v>64413</v>
      </c>
      <c r="E8" s="39">
        <v>79019</v>
      </c>
      <c r="F8" s="39">
        <v>76011</v>
      </c>
      <c r="G8" s="39">
        <v>71809</v>
      </c>
      <c r="H8" s="39">
        <v>80285</v>
      </c>
      <c r="I8" s="39">
        <v>73774</v>
      </c>
      <c r="J8" s="39">
        <v>78423</v>
      </c>
      <c r="K8" s="425">
        <v>80942</v>
      </c>
      <c r="L8" s="428">
        <v>75673</v>
      </c>
      <c r="M8" s="425">
        <v>63450</v>
      </c>
      <c r="N8" s="39">
        <v>45678</v>
      </c>
      <c r="O8" s="39">
        <v>25880</v>
      </c>
      <c r="P8" s="39">
        <v>22752</v>
      </c>
      <c r="Q8" s="39">
        <v>18762</v>
      </c>
      <c r="R8" s="39">
        <v>27856</v>
      </c>
      <c r="S8" s="39">
        <v>20505</v>
      </c>
      <c r="T8" s="39">
        <v>8611</v>
      </c>
      <c r="U8" s="39">
        <v>3257</v>
      </c>
      <c r="V8" s="39">
        <v>885</v>
      </c>
      <c r="W8" s="39">
        <v>141</v>
      </c>
      <c r="X8" s="425">
        <v>26</v>
      </c>
    </row>
    <row r="9" spans="1:24" s="22" customFormat="1" ht="18.75" customHeight="1">
      <c r="A9" s="557"/>
      <c r="B9" s="241" t="s">
        <v>454</v>
      </c>
      <c r="C9" s="54">
        <f t="shared" si="0"/>
        <v>874451</v>
      </c>
      <c r="D9" s="425">
        <v>58833</v>
      </c>
      <c r="E9" s="39">
        <v>72323</v>
      </c>
      <c r="F9" s="39">
        <v>69208</v>
      </c>
      <c r="G9" s="39">
        <v>66957</v>
      </c>
      <c r="H9" s="39">
        <v>77261</v>
      </c>
      <c r="I9" s="39">
        <v>73050</v>
      </c>
      <c r="J9" s="39">
        <v>79242</v>
      </c>
      <c r="K9" s="425">
        <v>81275</v>
      </c>
      <c r="L9" s="428">
        <v>75141</v>
      </c>
      <c r="M9" s="425">
        <v>64121</v>
      </c>
      <c r="N9" s="39">
        <v>48080</v>
      </c>
      <c r="O9" s="39">
        <v>28290</v>
      </c>
      <c r="P9" s="39">
        <v>26052</v>
      </c>
      <c r="Q9" s="39">
        <v>19424</v>
      </c>
      <c r="R9" s="39">
        <v>14798</v>
      </c>
      <c r="S9" s="39">
        <v>10405</v>
      </c>
      <c r="T9" s="39">
        <v>5908</v>
      </c>
      <c r="U9" s="39">
        <v>2828</v>
      </c>
      <c r="V9" s="39">
        <v>970</v>
      </c>
      <c r="W9" s="39">
        <v>228</v>
      </c>
      <c r="X9" s="425">
        <v>57</v>
      </c>
    </row>
    <row r="10" spans="1:24" s="22" customFormat="1" ht="18.75" customHeight="1">
      <c r="A10" s="556" t="s">
        <v>731</v>
      </c>
      <c r="B10" s="241" t="s">
        <v>452</v>
      </c>
      <c r="C10" s="54">
        <f t="shared" si="0"/>
        <v>1822075</v>
      </c>
      <c r="D10" s="425">
        <v>121240</v>
      </c>
      <c r="E10" s="39">
        <v>148299</v>
      </c>
      <c r="F10" s="39">
        <v>146395</v>
      </c>
      <c r="G10" s="39">
        <v>137880</v>
      </c>
      <c r="H10" s="39">
        <v>158828</v>
      </c>
      <c r="I10" s="39">
        <v>151843</v>
      </c>
      <c r="J10" s="39">
        <v>157136</v>
      </c>
      <c r="K10" s="425">
        <v>162675</v>
      </c>
      <c r="L10" s="428">
        <v>156130</v>
      </c>
      <c r="M10" s="425">
        <v>133394</v>
      </c>
      <c r="N10" s="39">
        <v>102294</v>
      </c>
      <c r="O10" s="39">
        <v>57673</v>
      </c>
      <c r="P10" s="39">
        <v>50486</v>
      </c>
      <c r="Q10" s="39">
        <v>39217</v>
      </c>
      <c r="R10" s="39">
        <v>40346</v>
      </c>
      <c r="S10" s="39">
        <v>33371</v>
      </c>
      <c r="T10" s="39">
        <v>15780</v>
      </c>
      <c r="U10" s="39">
        <v>6505</v>
      </c>
      <c r="V10" s="39">
        <v>2112</v>
      </c>
      <c r="W10" s="39">
        <v>391</v>
      </c>
      <c r="X10" s="425">
        <v>80</v>
      </c>
    </row>
    <row r="11" spans="1:24" s="22" customFormat="1" ht="18.75" customHeight="1">
      <c r="A11" s="557"/>
      <c r="B11" s="241" t="s">
        <v>453</v>
      </c>
      <c r="C11" s="54">
        <f t="shared" si="0"/>
        <v>932046</v>
      </c>
      <c r="D11" s="425">
        <v>63506</v>
      </c>
      <c r="E11" s="39">
        <v>77496</v>
      </c>
      <c r="F11" s="39">
        <v>76607</v>
      </c>
      <c r="G11" s="39">
        <v>71418</v>
      </c>
      <c r="H11" s="39">
        <v>80949</v>
      </c>
      <c r="I11" s="39">
        <v>76423</v>
      </c>
      <c r="J11" s="39">
        <v>78282</v>
      </c>
      <c r="K11" s="425">
        <v>81127</v>
      </c>
      <c r="L11" s="428">
        <v>78269</v>
      </c>
      <c r="M11" s="425">
        <v>66558</v>
      </c>
      <c r="N11" s="39">
        <v>49907</v>
      </c>
      <c r="O11" s="39">
        <v>27540</v>
      </c>
      <c r="P11" s="39">
        <v>23604</v>
      </c>
      <c r="Q11" s="39">
        <v>18463</v>
      </c>
      <c r="R11" s="39">
        <v>25291</v>
      </c>
      <c r="S11" s="39">
        <v>22399</v>
      </c>
      <c r="T11" s="39">
        <v>9499</v>
      </c>
      <c r="U11" s="39">
        <v>3452</v>
      </c>
      <c r="V11" s="39">
        <v>1085</v>
      </c>
      <c r="W11" s="39">
        <v>150</v>
      </c>
      <c r="X11" s="425">
        <v>21</v>
      </c>
    </row>
    <row r="12" spans="1:24" s="22" customFormat="1" ht="18.75" customHeight="1">
      <c r="A12" s="557"/>
      <c r="B12" s="241" t="s">
        <v>454</v>
      </c>
      <c r="C12" s="54">
        <f t="shared" si="0"/>
        <v>890029</v>
      </c>
      <c r="D12" s="425">
        <v>57734</v>
      </c>
      <c r="E12" s="39">
        <v>70803</v>
      </c>
      <c r="F12" s="39">
        <v>69788</v>
      </c>
      <c r="G12" s="39">
        <v>66462</v>
      </c>
      <c r="H12" s="39">
        <v>77879</v>
      </c>
      <c r="I12" s="39">
        <v>75420</v>
      </c>
      <c r="J12" s="39">
        <v>78854</v>
      </c>
      <c r="K12" s="425">
        <v>81548</v>
      </c>
      <c r="L12" s="428">
        <v>77861</v>
      </c>
      <c r="M12" s="425">
        <v>66836</v>
      </c>
      <c r="N12" s="39">
        <v>52387</v>
      </c>
      <c r="O12" s="39">
        <v>30133</v>
      </c>
      <c r="P12" s="39">
        <v>26882</v>
      </c>
      <c r="Q12" s="39">
        <v>20754</v>
      </c>
      <c r="R12" s="39">
        <v>15055</v>
      </c>
      <c r="S12" s="39">
        <v>10972</v>
      </c>
      <c r="T12" s="39">
        <v>6281</v>
      </c>
      <c r="U12" s="39">
        <v>3053</v>
      </c>
      <c r="V12" s="39">
        <v>1027</v>
      </c>
      <c r="W12" s="39">
        <v>241</v>
      </c>
      <c r="X12" s="425">
        <v>59</v>
      </c>
    </row>
    <row r="13" spans="1:24" s="29" customFormat="1" ht="18.75" customHeight="1">
      <c r="A13" s="556" t="s">
        <v>732</v>
      </c>
      <c r="B13" s="241" t="s">
        <v>452</v>
      </c>
      <c r="C13" s="54">
        <f t="shared" si="0"/>
        <v>1853029</v>
      </c>
      <c r="D13" s="428">
        <v>117264</v>
      </c>
      <c r="E13" s="428">
        <v>146191</v>
      </c>
      <c r="F13" s="428">
        <v>149942</v>
      </c>
      <c r="G13" s="428">
        <v>135972</v>
      </c>
      <c r="H13" s="428">
        <v>157997</v>
      </c>
      <c r="I13" s="428">
        <v>158784</v>
      </c>
      <c r="J13" s="428">
        <v>156794</v>
      </c>
      <c r="K13" s="428">
        <v>164381</v>
      </c>
      <c r="L13" s="428">
        <v>159891</v>
      </c>
      <c r="M13" s="428">
        <v>138840</v>
      </c>
      <c r="N13" s="428">
        <v>110212</v>
      </c>
      <c r="O13" s="428">
        <v>63907</v>
      </c>
      <c r="P13" s="428">
        <v>51687</v>
      </c>
      <c r="Q13" s="428">
        <v>40673</v>
      </c>
      <c r="R13" s="428">
        <v>37909</v>
      </c>
      <c r="S13" s="428">
        <v>35467</v>
      </c>
      <c r="T13" s="428">
        <v>17335</v>
      </c>
      <c r="U13" s="428">
        <v>6940</v>
      </c>
      <c r="V13" s="428">
        <v>2328</v>
      </c>
      <c r="W13" s="428">
        <v>437</v>
      </c>
      <c r="X13" s="428">
        <v>78</v>
      </c>
    </row>
    <row r="14" spans="1:24" s="29" customFormat="1" ht="18.75" customHeight="1">
      <c r="A14" s="602"/>
      <c r="B14" s="241" t="s">
        <v>453</v>
      </c>
      <c r="C14" s="54">
        <f t="shared" si="0"/>
        <v>945959</v>
      </c>
      <c r="D14" s="428">
        <v>61413</v>
      </c>
      <c r="E14" s="428">
        <v>76083</v>
      </c>
      <c r="F14" s="428">
        <v>78634</v>
      </c>
      <c r="G14" s="428">
        <v>70675</v>
      </c>
      <c r="H14" s="428">
        <v>80534</v>
      </c>
      <c r="I14" s="428">
        <v>79865</v>
      </c>
      <c r="J14" s="428">
        <v>78083</v>
      </c>
      <c r="K14" s="428">
        <v>81997</v>
      </c>
      <c r="L14" s="428">
        <v>80160</v>
      </c>
      <c r="M14" s="428">
        <v>69341</v>
      </c>
      <c r="N14" s="428">
        <v>53677</v>
      </c>
      <c r="O14" s="428">
        <v>30706</v>
      </c>
      <c r="P14" s="428">
        <v>24207</v>
      </c>
      <c r="Q14" s="428">
        <v>18748</v>
      </c>
      <c r="R14" s="428">
        <v>22324</v>
      </c>
      <c r="S14" s="428">
        <v>23802</v>
      </c>
      <c r="T14" s="428">
        <v>10597</v>
      </c>
      <c r="U14" s="428">
        <v>3705</v>
      </c>
      <c r="V14" s="428">
        <v>1217</v>
      </c>
      <c r="W14" s="428">
        <v>161</v>
      </c>
      <c r="X14" s="428">
        <v>30</v>
      </c>
    </row>
    <row r="15" spans="1:24" s="29" customFormat="1" ht="18.75" customHeight="1">
      <c r="A15" s="602"/>
      <c r="B15" s="241" t="s">
        <v>454</v>
      </c>
      <c r="C15" s="54">
        <f t="shared" si="0"/>
        <v>907070</v>
      </c>
      <c r="D15" s="428">
        <v>55851</v>
      </c>
      <c r="E15" s="428">
        <v>70108</v>
      </c>
      <c r="F15" s="428">
        <v>71308</v>
      </c>
      <c r="G15" s="428">
        <v>65297</v>
      </c>
      <c r="H15" s="428">
        <v>77463</v>
      </c>
      <c r="I15" s="428">
        <v>78919</v>
      </c>
      <c r="J15" s="428">
        <v>78711</v>
      </c>
      <c r="K15" s="428">
        <v>82384</v>
      </c>
      <c r="L15" s="428">
        <v>79731</v>
      </c>
      <c r="M15" s="428">
        <v>69499</v>
      </c>
      <c r="N15" s="428">
        <v>56535</v>
      </c>
      <c r="O15" s="428">
        <v>33201</v>
      </c>
      <c r="P15" s="428">
        <v>27480</v>
      </c>
      <c r="Q15" s="428">
        <v>21925</v>
      </c>
      <c r="R15" s="428">
        <v>15585</v>
      </c>
      <c r="S15" s="428">
        <v>11665</v>
      </c>
      <c r="T15" s="428">
        <v>6738</v>
      </c>
      <c r="U15" s="428">
        <v>3235</v>
      </c>
      <c r="V15" s="428">
        <v>1111</v>
      </c>
      <c r="W15" s="428">
        <v>276</v>
      </c>
      <c r="X15" s="428">
        <v>48</v>
      </c>
    </row>
    <row r="16" spans="1:24" s="22" customFormat="1" ht="18.75" customHeight="1">
      <c r="A16" s="556" t="s">
        <v>733</v>
      </c>
      <c r="B16" s="241" t="s">
        <v>452</v>
      </c>
      <c r="C16" s="54">
        <f t="shared" si="0"/>
        <v>1880316</v>
      </c>
      <c r="D16" s="428">
        <v>109307</v>
      </c>
      <c r="E16" s="428">
        <v>146476</v>
      </c>
      <c r="F16" s="428">
        <v>151127</v>
      </c>
      <c r="G16" s="428">
        <v>138861</v>
      </c>
      <c r="H16" s="428">
        <v>154811</v>
      </c>
      <c r="I16" s="428">
        <v>164347</v>
      </c>
      <c r="J16" s="428">
        <v>156210</v>
      </c>
      <c r="K16" s="428">
        <v>165374</v>
      </c>
      <c r="L16" s="428">
        <v>163678</v>
      </c>
      <c r="M16" s="428">
        <v>143081</v>
      </c>
      <c r="N16" s="428">
        <v>118420</v>
      </c>
      <c r="O16" s="428">
        <v>72631</v>
      </c>
      <c r="P16" s="428">
        <v>50742</v>
      </c>
      <c r="Q16" s="428">
        <v>42768</v>
      </c>
      <c r="R16" s="428">
        <v>35782</v>
      </c>
      <c r="S16" s="428">
        <v>36649</v>
      </c>
      <c r="T16" s="428">
        <v>19409</v>
      </c>
      <c r="U16" s="428">
        <v>7495</v>
      </c>
      <c r="V16" s="428">
        <v>2585</v>
      </c>
      <c r="W16" s="428">
        <v>474</v>
      </c>
      <c r="X16" s="428">
        <v>89</v>
      </c>
    </row>
    <row r="17" spans="1:24" s="29" customFormat="1" ht="18.75" customHeight="1">
      <c r="A17" s="602"/>
      <c r="B17" s="241" t="s">
        <v>453</v>
      </c>
      <c r="C17" s="54">
        <f t="shared" si="0"/>
        <v>958212</v>
      </c>
      <c r="D17" s="428">
        <v>57139</v>
      </c>
      <c r="E17" s="428">
        <v>76509</v>
      </c>
      <c r="F17" s="428">
        <v>79081</v>
      </c>
      <c r="G17" s="428">
        <v>72362</v>
      </c>
      <c r="H17" s="428">
        <v>79338</v>
      </c>
      <c r="I17" s="428">
        <v>82345</v>
      </c>
      <c r="J17" s="428">
        <v>77826</v>
      </c>
      <c r="K17" s="428">
        <v>82400</v>
      </c>
      <c r="L17" s="428">
        <v>81912</v>
      </c>
      <c r="M17" s="428">
        <v>71374</v>
      </c>
      <c r="N17" s="428">
        <v>58025</v>
      </c>
      <c r="O17" s="428">
        <v>34856</v>
      </c>
      <c r="P17" s="428">
        <v>23766</v>
      </c>
      <c r="Q17" s="428">
        <v>19593</v>
      </c>
      <c r="R17" s="428">
        <v>19547</v>
      </c>
      <c r="S17" s="428">
        <v>24406</v>
      </c>
      <c r="T17" s="428">
        <v>12060</v>
      </c>
      <c r="U17" s="428">
        <v>4080</v>
      </c>
      <c r="V17" s="428">
        <v>1359</v>
      </c>
      <c r="W17" s="428">
        <v>200</v>
      </c>
      <c r="X17" s="428">
        <v>34</v>
      </c>
    </row>
    <row r="18" spans="1:24" s="22" customFormat="1" ht="18.75" customHeight="1">
      <c r="A18" s="602"/>
      <c r="B18" s="241" t="s">
        <v>454</v>
      </c>
      <c r="C18" s="54">
        <f t="shared" si="0"/>
        <v>922104</v>
      </c>
      <c r="D18" s="428">
        <v>52168</v>
      </c>
      <c r="E18" s="428">
        <v>69967</v>
      </c>
      <c r="F18" s="428">
        <v>72046</v>
      </c>
      <c r="G18" s="428">
        <v>66499</v>
      </c>
      <c r="H18" s="428">
        <v>75473</v>
      </c>
      <c r="I18" s="428">
        <v>82002</v>
      </c>
      <c r="J18" s="428">
        <v>78384</v>
      </c>
      <c r="K18" s="428">
        <v>82974</v>
      </c>
      <c r="L18" s="428">
        <v>81766</v>
      </c>
      <c r="M18" s="428">
        <v>71707</v>
      </c>
      <c r="N18" s="428">
        <v>60395</v>
      </c>
      <c r="O18" s="428">
        <v>37775</v>
      </c>
      <c r="P18" s="428">
        <v>26976</v>
      </c>
      <c r="Q18" s="428">
        <v>23175</v>
      </c>
      <c r="R18" s="428">
        <v>16235</v>
      </c>
      <c r="S18" s="428">
        <v>12243</v>
      </c>
      <c r="T18" s="428">
        <v>7349</v>
      </c>
      <c r="U18" s="428">
        <v>3415</v>
      </c>
      <c r="V18" s="428">
        <v>1226</v>
      </c>
      <c r="W18" s="428">
        <v>274</v>
      </c>
      <c r="X18" s="428">
        <v>55</v>
      </c>
    </row>
    <row r="19" spans="1:24" ht="18.75" customHeight="1">
      <c r="A19" s="556" t="s">
        <v>734</v>
      </c>
      <c r="B19" s="241" t="s">
        <v>452</v>
      </c>
      <c r="C19" s="54">
        <f t="shared" si="0"/>
        <v>1911161</v>
      </c>
      <c r="D19" s="428">
        <v>105769</v>
      </c>
      <c r="E19" s="428">
        <v>142133</v>
      </c>
      <c r="F19" s="428">
        <v>153554</v>
      </c>
      <c r="G19" s="428">
        <v>143596</v>
      </c>
      <c r="H19" s="428">
        <v>148093</v>
      </c>
      <c r="I19" s="428">
        <v>167137</v>
      </c>
      <c r="J19" s="428">
        <v>161348</v>
      </c>
      <c r="K19" s="428">
        <v>165975</v>
      </c>
      <c r="L19" s="428">
        <v>167214</v>
      </c>
      <c r="M19" s="428">
        <v>147025</v>
      </c>
      <c r="N19" s="428">
        <v>124458</v>
      </c>
      <c r="O19" s="428">
        <v>83960</v>
      </c>
      <c r="P19" s="428">
        <v>51001</v>
      </c>
      <c r="Q19" s="428">
        <v>44973</v>
      </c>
      <c r="R19" s="428">
        <v>34874</v>
      </c>
      <c r="S19" s="428">
        <v>36882</v>
      </c>
      <c r="T19" s="428">
        <v>21350</v>
      </c>
      <c r="U19" s="428">
        <v>8314</v>
      </c>
      <c r="V19" s="428">
        <v>2846</v>
      </c>
      <c r="W19" s="428">
        <v>556</v>
      </c>
      <c r="X19" s="428">
        <v>103</v>
      </c>
    </row>
    <row r="20" spans="1:24" ht="18.75" customHeight="1">
      <c r="A20" s="602"/>
      <c r="B20" s="241" t="s">
        <v>453</v>
      </c>
      <c r="C20" s="54">
        <f t="shared" si="0"/>
        <v>971969</v>
      </c>
      <c r="D20" s="428">
        <v>55420</v>
      </c>
      <c r="E20" s="428">
        <v>74216</v>
      </c>
      <c r="F20" s="428">
        <v>80398</v>
      </c>
      <c r="G20" s="428">
        <v>74899</v>
      </c>
      <c r="H20" s="428">
        <v>75990</v>
      </c>
      <c r="I20" s="428">
        <v>83645</v>
      </c>
      <c r="J20" s="428">
        <v>80350</v>
      </c>
      <c r="K20" s="428">
        <v>82762</v>
      </c>
      <c r="L20" s="428">
        <v>83500</v>
      </c>
      <c r="M20" s="428">
        <v>73312</v>
      </c>
      <c r="N20" s="428">
        <v>61101</v>
      </c>
      <c r="O20" s="428">
        <v>40293</v>
      </c>
      <c r="P20" s="428">
        <v>23814</v>
      </c>
      <c r="Q20" s="428">
        <v>20581</v>
      </c>
      <c r="R20" s="428">
        <v>17710</v>
      </c>
      <c r="S20" s="428">
        <v>24154</v>
      </c>
      <c r="T20" s="428">
        <v>13434</v>
      </c>
      <c r="U20" s="428">
        <v>4630</v>
      </c>
      <c r="V20" s="428">
        <v>1480</v>
      </c>
      <c r="W20" s="428">
        <v>242</v>
      </c>
      <c r="X20" s="428">
        <v>38</v>
      </c>
    </row>
    <row r="21" spans="1:24" ht="18.75" customHeight="1">
      <c r="A21" s="602"/>
      <c r="B21" s="241" t="s">
        <v>454</v>
      </c>
      <c r="C21" s="54">
        <f t="shared" si="0"/>
        <v>939192</v>
      </c>
      <c r="D21" s="428">
        <v>50349</v>
      </c>
      <c r="E21" s="428">
        <v>67917</v>
      </c>
      <c r="F21" s="428">
        <v>73156</v>
      </c>
      <c r="G21" s="428">
        <v>68697</v>
      </c>
      <c r="H21" s="428">
        <v>72103</v>
      </c>
      <c r="I21" s="428">
        <v>83492</v>
      </c>
      <c r="J21" s="428">
        <v>80998</v>
      </c>
      <c r="K21" s="428">
        <v>83213</v>
      </c>
      <c r="L21" s="428">
        <v>83714</v>
      </c>
      <c r="M21" s="428">
        <v>73713</v>
      </c>
      <c r="N21" s="428">
        <v>63357</v>
      </c>
      <c r="O21" s="428">
        <v>43667</v>
      </c>
      <c r="P21" s="428">
        <v>27187</v>
      </c>
      <c r="Q21" s="428">
        <v>24392</v>
      </c>
      <c r="R21" s="428">
        <v>17164</v>
      </c>
      <c r="S21" s="428">
        <v>12728</v>
      </c>
      <c r="T21" s="428">
        <v>7916</v>
      </c>
      <c r="U21" s="428">
        <v>3684</v>
      </c>
      <c r="V21" s="428">
        <v>1366</v>
      </c>
      <c r="W21" s="428">
        <v>314</v>
      </c>
      <c r="X21" s="428">
        <v>65</v>
      </c>
    </row>
    <row r="22" spans="1:24" ht="18.75" customHeight="1">
      <c r="A22" s="556" t="s">
        <v>735</v>
      </c>
      <c r="B22" s="241" t="s">
        <v>452</v>
      </c>
      <c r="C22" s="54">
        <f t="shared" si="0"/>
        <v>1934968</v>
      </c>
      <c r="D22" s="428">
        <v>102381</v>
      </c>
      <c r="E22" s="428">
        <v>136384</v>
      </c>
      <c r="F22" s="428">
        <v>155328</v>
      </c>
      <c r="G22" s="428">
        <v>147337</v>
      </c>
      <c r="H22" s="428">
        <v>142288</v>
      </c>
      <c r="I22" s="428">
        <v>170784</v>
      </c>
      <c r="J22" s="428">
        <v>164388</v>
      </c>
      <c r="K22" s="428">
        <v>167463</v>
      </c>
      <c r="L22" s="428">
        <v>166625</v>
      </c>
      <c r="M22" s="428">
        <v>152757</v>
      </c>
      <c r="N22" s="428">
        <v>128738</v>
      </c>
      <c r="O22" s="428">
        <v>94231</v>
      </c>
      <c r="P22" s="428">
        <v>53001</v>
      </c>
      <c r="Q22" s="428">
        <v>46620</v>
      </c>
      <c r="R22" s="428">
        <v>35090</v>
      </c>
      <c r="S22" s="428">
        <v>36101</v>
      </c>
      <c r="T22" s="428">
        <v>23044</v>
      </c>
      <c r="U22" s="428">
        <v>8934</v>
      </c>
      <c r="V22" s="428">
        <v>2747</v>
      </c>
      <c r="W22" s="428">
        <v>624</v>
      </c>
      <c r="X22" s="428">
        <v>103</v>
      </c>
    </row>
    <row r="23" spans="1:24" ht="18.75" customHeight="1">
      <c r="A23" s="557"/>
      <c r="B23" s="241" t="s">
        <v>453</v>
      </c>
      <c r="C23" s="54">
        <f t="shared" si="0"/>
        <v>981486</v>
      </c>
      <c r="D23" s="428">
        <v>53711</v>
      </c>
      <c r="E23" s="428">
        <v>71243</v>
      </c>
      <c r="F23" s="428">
        <v>81041</v>
      </c>
      <c r="G23" s="428">
        <v>77100</v>
      </c>
      <c r="H23" s="428">
        <v>73250</v>
      </c>
      <c r="I23" s="428">
        <v>85294</v>
      </c>
      <c r="J23" s="428">
        <v>81809</v>
      </c>
      <c r="K23" s="428">
        <v>83241</v>
      </c>
      <c r="L23" s="428">
        <v>82978</v>
      </c>
      <c r="M23" s="428">
        <v>76142</v>
      </c>
      <c r="N23" s="428">
        <v>63213</v>
      </c>
      <c r="O23" s="428">
        <v>45316</v>
      </c>
      <c r="P23" s="428">
        <v>24907</v>
      </c>
      <c r="Q23" s="428">
        <v>21324</v>
      </c>
      <c r="R23" s="428">
        <v>16737</v>
      </c>
      <c r="S23" s="428">
        <v>22913</v>
      </c>
      <c r="T23" s="428">
        <v>14711</v>
      </c>
      <c r="U23" s="428">
        <v>4912</v>
      </c>
      <c r="V23" s="428">
        <v>1310</v>
      </c>
      <c r="W23" s="428">
        <v>291</v>
      </c>
      <c r="X23" s="428">
        <v>43</v>
      </c>
    </row>
    <row r="24" spans="1:24" ht="18.75" customHeight="1">
      <c r="A24" s="557"/>
      <c r="B24" s="241" t="s">
        <v>454</v>
      </c>
      <c r="C24" s="54">
        <f t="shared" si="0"/>
        <v>953482</v>
      </c>
      <c r="D24" s="428">
        <v>48670</v>
      </c>
      <c r="E24" s="428">
        <v>65141</v>
      </c>
      <c r="F24" s="428">
        <v>74287</v>
      </c>
      <c r="G24" s="428">
        <v>70237</v>
      </c>
      <c r="H24" s="428">
        <v>69038</v>
      </c>
      <c r="I24" s="428">
        <v>85490</v>
      </c>
      <c r="J24" s="428">
        <v>82579</v>
      </c>
      <c r="K24" s="428">
        <v>84222</v>
      </c>
      <c r="L24" s="428">
        <v>83647</v>
      </c>
      <c r="M24" s="428">
        <v>76615</v>
      </c>
      <c r="N24" s="428">
        <v>65525</v>
      </c>
      <c r="O24" s="428">
        <v>48915</v>
      </c>
      <c r="P24" s="428">
        <v>28094</v>
      </c>
      <c r="Q24" s="428">
        <v>25296</v>
      </c>
      <c r="R24" s="428">
        <v>18353</v>
      </c>
      <c r="S24" s="428">
        <v>13188</v>
      </c>
      <c r="T24" s="428">
        <v>8333</v>
      </c>
      <c r="U24" s="428">
        <v>4022</v>
      </c>
      <c r="V24" s="428">
        <v>1437</v>
      </c>
      <c r="W24" s="428">
        <v>333</v>
      </c>
      <c r="X24" s="428">
        <v>60</v>
      </c>
    </row>
    <row r="25" spans="1:24" ht="18.75" customHeight="1">
      <c r="A25" s="556" t="s">
        <v>736</v>
      </c>
      <c r="B25" s="241" t="s">
        <v>780</v>
      </c>
      <c r="C25" s="54">
        <f t="shared" si="0"/>
        <v>1958686</v>
      </c>
      <c r="D25" s="428">
        <v>100572</v>
      </c>
      <c r="E25" s="428">
        <v>133641</v>
      </c>
      <c r="F25" s="428">
        <v>151933</v>
      </c>
      <c r="G25" s="428">
        <v>148244</v>
      </c>
      <c r="H25" s="428">
        <v>140838</v>
      </c>
      <c r="I25" s="428">
        <v>171193</v>
      </c>
      <c r="J25" s="428">
        <v>169700</v>
      </c>
      <c r="K25" s="428">
        <v>166576</v>
      </c>
      <c r="L25" s="428">
        <v>166626</v>
      </c>
      <c r="M25" s="428">
        <v>157969</v>
      </c>
      <c r="N25" s="428">
        <v>134322</v>
      </c>
      <c r="O25" s="428">
        <v>102692</v>
      </c>
      <c r="P25" s="428">
        <v>56777</v>
      </c>
      <c r="Q25" s="428">
        <v>48139</v>
      </c>
      <c r="R25" s="428">
        <v>36274</v>
      </c>
      <c r="S25" s="428">
        <v>34408</v>
      </c>
      <c r="T25" s="428">
        <v>25214</v>
      </c>
      <c r="U25" s="428">
        <v>9837</v>
      </c>
      <c r="V25" s="428">
        <v>3019</v>
      </c>
      <c r="W25" s="428">
        <v>626</v>
      </c>
      <c r="X25" s="428">
        <v>86</v>
      </c>
    </row>
    <row r="26" spans="1:24" ht="18.75" customHeight="1">
      <c r="A26" s="557"/>
      <c r="B26" s="241" t="s">
        <v>453</v>
      </c>
      <c r="C26" s="54">
        <f t="shared" si="0"/>
        <v>991492</v>
      </c>
      <c r="D26" s="428">
        <v>52712</v>
      </c>
      <c r="E26" s="428">
        <v>69897</v>
      </c>
      <c r="F26" s="428">
        <v>79288</v>
      </c>
      <c r="G26" s="428">
        <v>77576</v>
      </c>
      <c r="H26" s="428">
        <v>72660</v>
      </c>
      <c r="I26" s="428">
        <v>85525</v>
      </c>
      <c r="J26" s="428">
        <v>84335</v>
      </c>
      <c r="K26" s="428">
        <v>82670</v>
      </c>
      <c r="L26" s="428">
        <v>82881</v>
      </c>
      <c r="M26" s="428">
        <v>78677</v>
      </c>
      <c r="N26" s="428">
        <v>66174</v>
      </c>
      <c r="O26" s="428">
        <v>49327</v>
      </c>
      <c r="P26" s="428">
        <v>26720</v>
      </c>
      <c r="Q26" s="428">
        <v>22045</v>
      </c>
      <c r="R26" s="428">
        <v>16566</v>
      </c>
      <c r="S26" s="428">
        <v>20890</v>
      </c>
      <c r="T26" s="428">
        <v>16296</v>
      </c>
      <c r="U26" s="428">
        <v>5504</v>
      </c>
      <c r="V26" s="428">
        <v>1432</v>
      </c>
      <c r="W26" s="428">
        <v>286</v>
      </c>
      <c r="X26" s="428">
        <v>31</v>
      </c>
    </row>
    <row r="27" spans="1:24" ht="18.75" customHeight="1">
      <c r="A27" s="557"/>
      <c r="B27" s="241" t="s">
        <v>454</v>
      </c>
      <c r="C27" s="54">
        <f t="shared" si="0"/>
        <v>967194</v>
      </c>
      <c r="D27" s="428">
        <v>47860</v>
      </c>
      <c r="E27" s="428">
        <v>63744</v>
      </c>
      <c r="F27" s="428">
        <v>72645</v>
      </c>
      <c r="G27" s="428">
        <v>70668</v>
      </c>
      <c r="H27" s="428">
        <v>68178</v>
      </c>
      <c r="I27" s="428">
        <v>85668</v>
      </c>
      <c r="J27" s="428">
        <v>85365</v>
      </c>
      <c r="K27" s="428">
        <v>83906</v>
      </c>
      <c r="L27" s="428">
        <v>83745</v>
      </c>
      <c r="M27" s="428">
        <v>79292</v>
      </c>
      <c r="N27" s="428">
        <v>68148</v>
      </c>
      <c r="O27" s="428">
        <v>53365</v>
      </c>
      <c r="P27" s="428">
        <v>30057</v>
      </c>
      <c r="Q27" s="428">
        <v>26094</v>
      </c>
      <c r="R27" s="428">
        <v>19708</v>
      </c>
      <c r="S27" s="428">
        <v>13518</v>
      </c>
      <c r="T27" s="428">
        <v>8918</v>
      </c>
      <c r="U27" s="428">
        <v>4333</v>
      </c>
      <c r="V27" s="428">
        <v>1587</v>
      </c>
      <c r="W27" s="428">
        <v>340</v>
      </c>
      <c r="X27" s="428">
        <v>55</v>
      </c>
    </row>
    <row r="28" spans="1:24" ht="18.75" customHeight="1">
      <c r="A28" s="556" t="s">
        <v>737</v>
      </c>
      <c r="B28" s="241" t="s">
        <v>452</v>
      </c>
      <c r="C28" s="54">
        <f t="shared" si="0"/>
        <v>1978782</v>
      </c>
      <c r="D28" s="428">
        <v>98517</v>
      </c>
      <c r="E28" s="428">
        <v>127916</v>
      </c>
      <c r="F28" s="428">
        <v>149132</v>
      </c>
      <c r="G28" s="428">
        <v>151238</v>
      </c>
      <c r="H28" s="428">
        <v>138149</v>
      </c>
      <c r="I28" s="428">
        <v>169050</v>
      </c>
      <c r="J28" s="428">
        <v>176028</v>
      </c>
      <c r="K28" s="428">
        <v>165555</v>
      </c>
      <c r="L28" s="428">
        <v>167386</v>
      </c>
      <c r="M28" s="428">
        <v>161363</v>
      </c>
      <c r="N28" s="428">
        <v>139170</v>
      </c>
      <c r="O28" s="428">
        <v>110238</v>
      </c>
      <c r="P28" s="428">
        <v>63095</v>
      </c>
      <c r="Q28" s="428">
        <v>49243</v>
      </c>
      <c r="R28" s="428">
        <v>37828</v>
      </c>
      <c r="S28" s="428">
        <v>32653</v>
      </c>
      <c r="T28" s="428">
        <v>27138</v>
      </c>
      <c r="U28" s="428">
        <v>10972</v>
      </c>
      <c r="V28" s="428">
        <v>3289</v>
      </c>
      <c r="W28" s="428">
        <v>720</v>
      </c>
      <c r="X28" s="428">
        <v>102</v>
      </c>
    </row>
    <row r="29" spans="1:24" ht="18.75" customHeight="1">
      <c r="A29" s="557"/>
      <c r="B29" s="241" t="s">
        <v>453</v>
      </c>
      <c r="C29" s="54">
        <f t="shared" si="0"/>
        <v>999065</v>
      </c>
      <c r="D29" s="428">
        <v>51575</v>
      </c>
      <c r="E29" s="428">
        <v>66954</v>
      </c>
      <c r="F29" s="428">
        <v>77745</v>
      </c>
      <c r="G29" s="428">
        <v>79303</v>
      </c>
      <c r="H29" s="428">
        <v>71579</v>
      </c>
      <c r="I29" s="428">
        <v>84333</v>
      </c>
      <c r="J29" s="428">
        <v>87125</v>
      </c>
      <c r="K29" s="428">
        <v>81733</v>
      </c>
      <c r="L29" s="428">
        <v>83082</v>
      </c>
      <c r="M29" s="428">
        <v>80273</v>
      </c>
      <c r="N29" s="428">
        <v>68596</v>
      </c>
      <c r="O29" s="428">
        <v>52926</v>
      </c>
      <c r="P29" s="428">
        <v>29857</v>
      </c>
      <c r="Q29" s="428">
        <v>22590</v>
      </c>
      <c r="R29" s="428">
        <v>16921</v>
      </c>
      <c r="S29" s="428">
        <v>18593</v>
      </c>
      <c r="T29" s="428">
        <v>17641</v>
      </c>
      <c r="U29" s="428">
        <v>6291</v>
      </c>
      <c r="V29" s="428">
        <v>1576</v>
      </c>
      <c r="W29" s="428">
        <v>335</v>
      </c>
      <c r="X29" s="428">
        <v>37</v>
      </c>
    </row>
    <row r="30" spans="1:24" ht="18.75" customHeight="1">
      <c r="A30" s="557"/>
      <c r="B30" s="241" t="s">
        <v>454</v>
      </c>
      <c r="C30" s="54">
        <f t="shared" si="0"/>
        <v>979717</v>
      </c>
      <c r="D30" s="428">
        <v>46942</v>
      </c>
      <c r="E30" s="428">
        <v>60962</v>
      </c>
      <c r="F30" s="428">
        <v>71387</v>
      </c>
      <c r="G30" s="428">
        <v>71935</v>
      </c>
      <c r="H30" s="428">
        <v>66570</v>
      </c>
      <c r="I30" s="428">
        <v>84717</v>
      </c>
      <c r="J30" s="428">
        <v>88903</v>
      </c>
      <c r="K30" s="428">
        <v>83822</v>
      </c>
      <c r="L30" s="428">
        <v>84304</v>
      </c>
      <c r="M30" s="428">
        <v>81090</v>
      </c>
      <c r="N30" s="428">
        <v>70574</v>
      </c>
      <c r="O30" s="428">
        <v>57312</v>
      </c>
      <c r="P30" s="428">
        <v>33238</v>
      </c>
      <c r="Q30" s="428">
        <v>26653</v>
      </c>
      <c r="R30" s="428">
        <v>20907</v>
      </c>
      <c r="S30" s="428">
        <v>14060</v>
      </c>
      <c r="T30" s="428">
        <v>9497</v>
      </c>
      <c r="U30" s="428">
        <v>4681</v>
      </c>
      <c r="V30" s="428">
        <v>1713</v>
      </c>
      <c r="W30" s="428">
        <v>385</v>
      </c>
      <c r="X30" s="428">
        <v>65</v>
      </c>
    </row>
    <row r="31" spans="1:24" ht="18.75" customHeight="1">
      <c r="A31" s="556" t="s">
        <v>738</v>
      </c>
      <c r="B31" s="241" t="s">
        <v>452</v>
      </c>
      <c r="C31" s="54">
        <f t="shared" si="0"/>
        <v>2002060</v>
      </c>
      <c r="D31" s="428">
        <v>95139</v>
      </c>
      <c r="E31" s="428">
        <v>119010</v>
      </c>
      <c r="F31" s="428">
        <v>149192</v>
      </c>
      <c r="G31" s="428">
        <v>152447</v>
      </c>
      <c r="H31" s="428">
        <v>141151</v>
      </c>
      <c r="I31" s="428">
        <v>165515</v>
      </c>
      <c r="J31" s="428">
        <v>181646</v>
      </c>
      <c r="K31" s="428">
        <v>165429</v>
      </c>
      <c r="L31" s="428">
        <v>168498</v>
      </c>
      <c r="M31" s="428">
        <v>165066</v>
      </c>
      <c r="N31" s="428">
        <v>143529</v>
      </c>
      <c r="O31" s="428">
        <v>118477</v>
      </c>
      <c r="P31" s="428">
        <v>71945</v>
      </c>
      <c r="Q31" s="428">
        <v>48709</v>
      </c>
      <c r="R31" s="428">
        <v>39818</v>
      </c>
      <c r="S31" s="428">
        <v>31198</v>
      </c>
      <c r="T31" s="428">
        <v>28331</v>
      </c>
      <c r="U31" s="428">
        <v>12463</v>
      </c>
      <c r="V31" s="428">
        <v>3571</v>
      </c>
      <c r="W31" s="428">
        <v>810</v>
      </c>
      <c r="X31" s="428">
        <v>116</v>
      </c>
    </row>
    <row r="32" spans="1:24" ht="18.75" customHeight="1">
      <c r="A32" s="557"/>
      <c r="B32" s="241" t="s">
        <v>453</v>
      </c>
      <c r="C32" s="54">
        <f t="shared" si="0"/>
        <v>1009274</v>
      </c>
      <c r="D32" s="428">
        <v>49786</v>
      </c>
      <c r="E32" s="428">
        <v>62265</v>
      </c>
      <c r="F32" s="428">
        <v>77993</v>
      </c>
      <c r="G32" s="428">
        <v>79854</v>
      </c>
      <c r="H32" s="428">
        <v>73410</v>
      </c>
      <c r="I32" s="428">
        <v>83273</v>
      </c>
      <c r="J32" s="428">
        <v>89448</v>
      </c>
      <c r="K32" s="428">
        <v>81710</v>
      </c>
      <c r="L32" s="428">
        <v>83481</v>
      </c>
      <c r="M32" s="428">
        <v>81879</v>
      </c>
      <c r="N32" s="428">
        <v>70780</v>
      </c>
      <c r="O32" s="428">
        <v>57165</v>
      </c>
      <c r="P32" s="428">
        <v>34020</v>
      </c>
      <c r="Q32" s="428">
        <v>22295</v>
      </c>
      <c r="R32" s="428">
        <v>17746</v>
      </c>
      <c r="S32" s="428">
        <v>16398</v>
      </c>
      <c r="T32" s="428">
        <v>18286</v>
      </c>
      <c r="U32" s="428">
        <v>7305</v>
      </c>
      <c r="V32" s="428">
        <v>1774</v>
      </c>
      <c r="W32" s="428">
        <v>356</v>
      </c>
      <c r="X32" s="428">
        <v>50</v>
      </c>
    </row>
    <row r="33" spans="1:24" ht="18.75" customHeight="1" thickBot="1">
      <c r="A33" s="558"/>
      <c r="B33" s="533" t="s">
        <v>454</v>
      </c>
      <c r="C33" s="103">
        <f t="shared" si="0"/>
        <v>992786</v>
      </c>
      <c r="D33" s="447">
        <v>45353</v>
      </c>
      <c r="E33" s="447">
        <v>56745</v>
      </c>
      <c r="F33" s="447">
        <v>71199</v>
      </c>
      <c r="G33" s="447">
        <v>72593</v>
      </c>
      <c r="H33" s="447">
        <v>67741</v>
      </c>
      <c r="I33" s="447">
        <v>82242</v>
      </c>
      <c r="J33" s="447">
        <v>92198</v>
      </c>
      <c r="K33" s="447">
        <v>83719</v>
      </c>
      <c r="L33" s="447">
        <v>85017</v>
      </c>
      <c r="M33" s="447">
        <v>83187</v>
      </c>
      <c r="N33" s="447">
        <v>72749</v>
      </c>
      <c r="O33" s="447">
        <v>61312</v>
      </c>
      <c r="P33" s="447">
        <v>37925</v>
      </c>
      <c r="Q33" s="447">
        <v>26414</v>
      </c>
      <c r="R33" s="447">
        <v>22072</v>
      </c>
      <c r="S33" s="447">
        <v>14800</v>
      </c>
      <c r="T33" s="447">
        <v>10045</v>
      </c>
      <c r="U33" s="447">
        <v>5158</v>
      </c>
      <c r="V33" s="447">
        <v>1797</v>
      </c>
      <c r="W33" s="447">
        <v>454</v>
      </c>
      <c r="X33" s="447">
        <v>66</v>
      </c>
    </row>
    <row r="34" spans="1:23" s="119" customFormat="1" ht="15" customHeight="1">
      <c r="A34" s="125" t="s">
        <v>387</v>
      </c>
      <c r="B34" s="127"/>
      <c r="C34" s="127"/>
      <c r="D34" s="127"/>
      <c r="E34" s="127"/>
      <c r="F34" s="127"/>
      <c r="G34" s="127"/>
      <c r="L34" s="13" t="s">
        <v>741</v>
      </c>
      <c r="S34" s="128"/>
      <c r="T34" s="161"/>
      <c r="W34" s="148"/>
    </row>
  </sheetData>
  <mergeCells count="11">
    <mergeCell ref="L2:X2"/>
    <mergeCell ref="A7:A9"/>
    <mergeCell ref="A19:A21"/>
    <mergeCell ref="A16:A18"/>
    <mergeCell ref="A2:K2"/>
    <mergeCell ref="A31:A33"/>
    <mergeCell ref="A28:A30"/>
    <mergeCell ref="A13:A15"/>
    <mergeCell ref="A10:A12"/>
    <mergeCell ref="A22:A24"/>
    <mergeCell ref="A25:A27"/>
  </mergeCells>
  <printOptions horizontalCentered="1"/>
  <pageMargins left="1.1811023622047245" right="1.1811023622047245" top="1.5748031496062993" bottom="1.5748031496062993" header="0.5118110236220472" footer="0.9055118110236221"/>
  <pageSetup firstPageNumber="3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="120" zoomScaleNormal="120" workbookViewId="0" topLeftCell="A1">
      <selection activeCell="A2" sqref="A2:K2"/>
    </sheetView>
  </sheetViews>
  <sheetFormatPr defaultColWidth="9.00390625" defaultRowHeight="21.75" customHeight="1"/>
  <cols>
    <col min="1" max="1" width="12.625" style="123" customWidth="1"/>
    <col min="2" max="2" width="5.625" style="15" customWidth="1"/>
    <col min="3" max="3" width="6.625" style="13" customWidth="1"/>
    <col min="4" max="5" width="6.125" style="13" customWidth="1"/>
    <col min="6" max="11" width="6.50390625" style="13" customWidth="1"/>
    <col min="12" max="23" width="5.625" style="13" customWidth="1"/>
    <col min="24" max="24" width="7.375" style="13" customWidth="1"/>
    <col min="25" max="16384" width="10.625" style="7" customWidth="1"/>
  </cols>
  <sheetData>
    <row r="1" spans="1:24" s="15" customFormat="1" ht="16.5" customHeight="1">
      <c r="A1" s="118" t="s">
        <v>131</v>
      </c>
      <c r="B1" s="2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75" t="s">
        <v>392</v>
      </c>
    </row>
    <row r="2" spans="1:24" s="30" customFormat="1" ht="21.75" customHeight="1">
      <c r="A2" s="595" t="s">
        <v>794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596" t="s">
        <v>795</v>
      </c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</row>
    <row r="3" spans="1:24" ht="16.5" customHeight="1" thickBot="1">
      <c r="A3" s="26"/>
      <c r="B3" s="1"/>
      <c r="C3" s="4"/>
      <c r="D3" s="4"/>
      <c r="E3" s="4"/>
      <c r="F3" s="4"/>
      <c r="G3" s="4"/>
      <c r="H3" s="4"/>
      <c r="I3" s="4"/>
      <c r="J3" s="4"/>
      <c r="K3" s="126" t="s">
        <v>132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 t="s">
        <v>393</v>
      </c>
    </row>
    <row r="4" spans="1:25" s="20" customFormat="1" ht="25.5" customHeight="1">
      <c r="A4" s="216" t="s">
        <v>394</v>
      </c>
      <c r="B4" s="217" t="s">
        <v>395</v>
      </c>
      <c r="C4" s="215" t="s">
        <v>396</v>
      </c>
      <c r="D4" s="218" t="s">
        <v>397</v>
      </c>
      <c r="E4" s="140" t="s">
        <v>398</v>
      </c>
      <c r="F4" s="140" t="s">
        <v>399</v>
      </c>
      <c r="G4" s="140" t="s">
        <v>400</v>
      </c>
      <c r="H4" s="66" t="s">
        <v>401</v>
      </c>
      <c r="I4" s="66" t="s">
        <v>402</v>
      </c>
      <c r="J4" s="66" t="s">
        <v>403</v>
      </c>
      <c r="K4" s="140" t="s">
        <v>404</v>
      </c>
      <c r="L4" s="66" t="s">
        <v>405</v>
      </c>
      <c r="M4" s="140" t="s">
        <v>406</v>
      </c>
      <c r="N4" s="66" t="s">
        <v>407</v>
      </c>
      <c r="O4" s="66" t="s">
        <v>408</v>
      </c>
      <c r="P4" s="66" t="s">
        <v>409</v>
      </c>
      <c r="Q4" s="66" t="s">
        <v>410</v>
      </c>
      <c r="R4" s="66" t="s">
        <v>411</v>
      </c>
      <c r="S4" s="140" t="s">
        <v>412</v>
      </c>
      <c r="T4" s="140" t="s">
        <v>413</v>
      </c>
      <c r="U4" s="66" t="s">
        <v>414</v>
      </c>
      <c r="V4" s="140" t="s">
        <v>415</v>
      </c>
      <c r="W4" s="140" t="s">
        <v>416</v>
      </c>
      <c r="X4" s="218" t="s">
        <v>417</v>
      </c>
      <c r="Y4" s="27"/>
    </row>
    <row r="5" spans="1:24" s="27" customFormat="1" ht="25.5" customHeight="1" thickBot="1">
      <c r="A5" s="219" t="s">
        <v>390</v>
      </c>
      <c r="B5" s="220" t="s">
        <v>365</v>
      </c>
      <c r="C5" s="151" t="s">
        <v>366</v>
      </c>
      <c r="D5" s="151" t="s">
        <v>367</v>
      </c>
      <c r="E5" s="151" t="s">
        <v>368</v>
      </c>
      <c r="F5" s="151" t="s">
        <v>369</v>
      </c>
      <c r="G5" s="151" t="s">
        <v>370</v>
      </c>
      <c r="H5" s="31" t="s">
        <v>371</v>
      </c>
      <c r="I5" s="31" t="s">
        <v>372</v>
      </c>
      <c r="J5" s="31" t="s">
        <v>373</v>
      </c>
      <c r="K5" s="151" t="s">
        <v>374</v>
      </c>
      <c r="L5" s="31" t="s">
        <v>375</v>
      </c>
      <c r="M5" s="151" t="s">
        <v>376</v>
      </c>
      <c r="N5" s="31" t="s">
        <v>377</v>
      </c>
      <c r="O5" s="31" t="s">
        <v>378</v>
      </c>
      <c r="P5" s="31" t="s">
        <v>379</v>
      </c>
      <c r="Q5" s="31" t="s">
        <v>380</v>
      </c>
      <c r="R5" s="31" t="s">
        <v>381</v>
      </c>
      <c r="S5" s="151" t="s">
        <v>382</v>
      </c>
      <c r="T5" s="151" t="s">
        <v>383</v>
      </c>
      <c r="U5" s="31" t="s">
        <v>384</v>
      </c>
      <c r="V5" s="151" t="s">
        <v>385</v>
      </c>
      <c r="W5" s="151" t="s">
        <v>386</v>
      </c>
      <c r="X5" s="535" t="s">
        <v>391</v>
      </c>
    </row>
    <row r="6" spans="1:26" s="22" customFormat="1" ht="12.75" customHeight="1">
      <c r="A6" s="606" t="s">
        <v>742</v>
      </c>
      <c r="B6" s="241" t="s">
        <v>452</v>
      </c>
      <c r="C6" s="57">
        <f aca="true" t="shared" si="0" ref="C6:C47">SUM(D6:X6)</f>
        <v>2013305</v>
      </c>
      <c r="D6" s="411">
        <f aca="true" t="shared" si="1" ref="D6:W6">SUM(D9+D12+D15+D18+D24+D21+D27+D30+D33+D36+D39+D42+D45)</f>
        <v>92473</v>
      </c>
      <c r="E6" s="411">
        <f t="shared" si="1"/>
        <v>114281</v>
      </c>
      <c r="F6" s="411">
        <f t="shared" si="1"/>
        <v>143904</v>
      </c>
      <c r="G6" s="411">
        <f t="shared" si="1"/>
        <v>154275</v>
      </c>
      <c r="H6" s="411">
        <f t="shared" si="1"/>
        <v>144772</v>
      </c>
      <c r="I6" s="411">
        <f t="shared" si="1"/>
        <v>155610</v>
      </c>
      <c r="J6" s="411">
        <f t="shared" si="1"/>
        <v>180379</v>
      </c>
      <c r="K6" s="411">
        <f t="shared" si="1"/>
        <v>169176</v>
      </c>
      <c r="L6" s="411">
        <f t="shared" si="1"/>
        <v>168300</v>
      </c>
      <c r="M6" s="411">
        <f t="shared" si="1"/>
        <v>167496</v>
      </c>
      <c r="N6" s="411">
        <f t="shared" si="1"/>
        <v>146921</v>
      </c>
      <c r="O6" s="411">
        <f t="shared" si="1"/>
        <v>124050</v>
      </c>
      <c r="P6" s="411">
        <f t="shared" si="1"/>
        <v>83098</v>
      </c>
      <c r="Q6" s="411">
        <f t="shared" si="1"/>
        <v>49120</v>
      </c>
      <c r="R6" s="411">
        <f t="shared" si="1"/>
        <v>41700</v>
      </c>
      <c r="S6" s="411">
        <f t="shared" si="1"/>
        <v>30459</v>
      </c>
      <c r="T6" s="411">
        <f t="shared" si="1"/>
        <v>28572</v>
      </c>
      <c r="U6" s="411">
        <f t="shared" si="1"/>
        <v>13699</v>
      </c>
      <c r="V6" s="411">
        <f t="shared" si="1"/>
        <v>4029</v>
      </c>
      <c r="W6" s="411">
        <f t="shared" si="1"/>
        <v>865</v>
      </c>
      <c r="X6" s="411">
        <f>SUM(X9+X12+X15+X18+X24+X21+X27+X30+X33+X36+X39+X42)</f>
        <v>126</v>
      </c>
      <c r="Y6" s="29"/>
      <c r="Z6" s="113"/>
    </row>
    <row r="7" spans="1:25" s="22" customFormat="1" ht="12.75" customHeight="1">
      <c r="A7" s="604"/>
      <c r="B7" s="241" t="s">
        <v>453</v>
      </c>
      <c r="C7" s="53">
        <f t="shared" si="0"/>
        <v>1013618</v>
      </c>
      <c r="D7" s="39">
        <f aca="true" t="shared" si="2" ref="D7:W7">SUM(D10+D13+D16+D19+D25+D22+D28+D31+D34+D37+D40+D43+D46)</f>
        <v>48206</v>
      </c>
      <c r="E7" s="39">
        <f t="shared" si="2"/>
        <v>59846</v>
      </c>
      <c r="F7" s="39">
        <f t="shared" si="2"/>
        <v>75155</v>
      </c>
      <c r="G7" s="39">
        <f t="shared" si="2"/>
        <v>80840</v>
      </c>
      <c r="H7" s="39">
        <f t="shared" si="2"/>
        <v>75486</v>
      </c>
      <c r="I7" s="39">
        <f t="shared" si="2"/>
        <v>78941</v>
      </c>
      <c r="J7" s="39">
        <f t="shared" si="2"/>
        <v>88913</v>
      </c>
      <c r="K7" s="39">
        <f t="shared" si="2"/>
        <v>83548</v>
      </c>
      <c r="L7" s="39">
        <f t="shared" si="2"/>
        <v>83381</v>
      </c>
      <c r="M7" s="39">
        <f t="shared" si="2"/>
        <v>82920</v>
      </c>
      <c r="N7" s="39">
        <f t="shared" si="2"/>
        <v>72386</v>
      </c>
      <c r="O7" s="39">
        <f t="shared" si="2"/>
        <v>59958</v>
      </c>
      <c r="P7" s="39">
        <f t="shared" si="2"/>
        <v>39346</v>
      </c>
      <c r="Q7" s="39">
        <f t="shared" si="2"/>
        <v>22490</v>
      </c>
      <c r="R7" s="39">
        <f t="shared" si="2"/>
        <v>18584</v>
      </c>
      <c r="S7" s="39">
        <f t="shared" si="2"/>
        <v>14832</v>
      </c>
      <c r="T7" s="39">
        <f t="shared" si="2"/>
        <v>18113</v>
      </c>
      <c r="U7" s="39">
        <f t="shared" si="2"/>
        <v>8179</v>
      </c>
      <c r="V7" s="39">
        <f t="shared" si="2"/>
        <v>2067</v>
      </c>
      <c r="W7" s="39">
        <f t="shared" si="2"/>
        <v>374</v>
      </c>
      <c r="X7" s="39">
        <f>SUM(X10+X13+X16+X19+X25+X28+X31+X34+X37+X40)</f>
        <v>53</v>
      </c>
      <c r="Y7" s="29"/>
    </row>
    <row r="8" spans="1:25" s="22" customFormat="1" ht="12.75" customHeight="1">
      <c r="A8" s="604"/>
      <c r="B8" s="241" t="s">
        <v>454</v>
      </c>
      <c r="C8" s="53">
        <f t="shared" si="0"/>
        <v>999687</v>
      </c>
      <c r="D8" s="39">
        <f aca="true" t="shared" si="3" ref="D8:W8">SUM(D11+D14+D17+D20+D26+D23+D29+D32+D35+D38+D41+D44+D47)</f>
        <v>44267</v>
      </c>
      <c r="E8" s="39">
        <f t="shared" si="3"/>
        <v>54435</v>
      </c>
      <c r="F8" s="39">
        <f t="shared" si="3"/>
        <v>68749</v>
      </c>
      <c r="G8" s="39">
        <f t="shared" si="3"/>
        <v>73435</v>
      </c>
      <c r="H8" s="39">
        <f t="shared" si="3"/>
        <v>69286</v>
      </c>
      <c r="I8" s="39">
        <f t="shared" si="3"/>
        <v>76669</v>
      </c>
      <c r="J8" s="39">
        <f t="shared" si="3"/>
        <v>91466</v>
      </c>
      <c r="K8" s="39">
        <f t="shared" si="3"/>
        <v>85628</v>
      </c>
      <c r="L8" s="39">
        <f t="shared" si="3"/>
        <v>84919</v>
      </c>
      <c r="M8" s="39">
        <f t="shared" si="3"/>
        <v>84576</v>
      </c>
      <c r="N8" s="39">
        <f t="shared" si="3"/>
        <v>74535</v>
      </c>
      <c r="O8" s="39">
        <f t="shared" si="3"/>
        <v>64092</v>
      </c>
      <c r="P8" s="39">
        <f t="shared" si="3"/>
        <v>43752</v>
      </c>
      <c r="Q8" s="39">
        <f t="shared" si="3"/>
        <v>26630</v>
      </c>
      <c r="R8" s="39">
        <f t="shared" si="3"/>
        <v>23116</v>
      </c>
      <c r="S8" s="39">
        <f t="shared" si="3"/>
        <v>15627</v>
      </c>
      <c r="T8" s="39">
        <f t="shared" si="3"/>
        <v>10459</v>
      </c>
      <c r="U8" s="39">
        <f t="shared" si="3"/>
        <v>5520</v>
      </c>
      <c r="V8" s="39">
        <f t="shared" si="3"/>
        <v>1962</v>
      </c>
      <c r="W8" s="39">
        <f t="shared" si="3"/>
        <v>491</v>
      </c>
      <c r="X8" s="39">
        <f>SUM(X11+X14+X17+X20+X26+X23+X29+X32+X35+X38+X41+X44)</f>
        <v>73</v>
      </c>
      <c r="Y8" s="29"/>
    </row>
    <row r="9" spans="1:25" s="22" customFormat="1" ht="12.75" customHeight="1">
      <c r="A9" s="604" t="s">
        <v>743</v>
      </c>
      <c r="B9" s="241" t="s">
        <v>452</v>
      </c>
      <c r="C9" s="53">
        <f t="shared" si="0"/>
        <v>410113</v>
      </c>
      <c r="D9" s="39">
        <f>SUM(D10:D11)</f>
        <v>18366</v>
      </c>
      <c r="E9" s="39">
        <f aca="true" t="shared" si="4" ref="E9:X9">SUM(E10:E11)</f>
        <v>24607</v>
      </c>
      <c r="F9" s="39">
        <f t="shared" si="4"/>
        <v>32894</v>
      </c>
      <c r="G9" s="39">
        <f t="shared" si="4"/>
        <v>31177</v>
      </c>
      <c r="H9" s="39">
        <f t="shared" si="4"/>
        <v>27294</v>
      </c>
      <c r="I9" s="39">
        <f t="shared" si="4"/>
        <v>29490</v>
      </c>
      <c r="J9" s="39">
        <f t="shared" si="4"/>
        <v>35759</v>
      </c>
      <c r="K9" s="39">
        <f t="shared" si="4"/>
        <v>37084</v>
      </c>
      <c r="L9" s="39">
        <f t="shared" si="4"/>
        <v>37348</v>
      </c>
      <c r="M9" s="39">
        <f t="shared" si="4"/>
        <v>35223</v>
      </c>
      <c r="N9" s="39">
        <f t="shared" si="4"/>
        <v>29659</v>
      </c>
      <c r="O9" s="39">
        <f t="shared" si="4"/>
        <v>24732</v>
      </c>
      <c r="P9" s="39">
        <f t="shared" si="4"/>
        <v>16830</v>
      </c>
      <c r="Q9" s="39">
        <f t="shared" si="4"/>
        <v>9620</v>
      </c>
      <c r="R9" s="39">
        <f t="shared" si="4"/>
        <v>7887</v>
      </c>
      <c r="S9" s="39">
        <f t="shared" si="4"/>
        <v>5267</v>
      </c>
      <c r="T9" s="39">
        <f t="shared" si="4"/>
        <v>4015</v>
      </c>
      <c r="U9" s="39">
        <f t="shared" si="4"/>
        <v>2060</v>
      </c>
      <c r="V9" s="39">
        <f t="shared" si="4"/>
        <v>651</v>
      </c>
      <c r="W9" s="39">
        <f t="shared" si="4"/>
        <v>133</v>
      </c>
      <c r="X9" s="39">
        <f t="shared" si="4"/>
        <v>17</v>
      </c>
      <c r="Y9" s="29"/>
    </row>
    <row r="10" spans="1:25" s="22" customFormat="1" ht="12.75" customHeight="1">
      <c r="A10" s="604"/>
      <c r="B10" s="241" t="s">
        <v>453</v>
      </c>
      <c r="C10" s="53">
        <f t="shared" si="0"/>
        <v>200696</v>
      </c>
      <c r="D10" s="39">
        <v>9597</v>
      </c>
      <c r="E10" s="39">
        <v>12654</v>
      </c>
      <c r="F10" s="39">
        <v>17153</v>
      </c>
      <c r="G10" s="39">
        <v>16343</v>
      </c>
      <c r="H10" s="39">
        <v>14204</v>
      </c>
      <c r="I10" s="39">
        <v>14804</v>
      </c>
      <c r="J10" s="39">
        <v>16979</v>
      </c>
      <c r="K10" s="39">
        <v>17356</v>
      </c>
      <c r="L10" s="39">
        <v>17477</v>
      </c>
      <c r="M10" s="39">
        <v>16606</v>
      </c>
      <c r="N10" s="39">
        <v>14087</v>
      </c>
      <c r="O10" s="39">
        <v>11565</v>
      </c>
      <c r="P10" s="39">
        <v>7823</v>
      </c>
      <c r="Q10" s="39">
        <v>4480</v>
      </c>
      <c r="R10" s="39">
        <v>3467</v>
      </c>
      <c r="S10" s="39">
        <v>2423</v>
      </c>
      <c r="T10" s="39">
        <v>2231</v>
      </c>
      <c r="U10" s="39">
        <v>1095</v>
      </c>
      <c r="V10" s="39">
        <v>294</v>
      </c>
      <c r="W10" s="39">
        <v>52</v>
      </c>
      <c r="X10" s="39">
        <v>6</v>
      </c>
      <c r="Y10" s="29"/>
    </row>
    <row r="11" spans="1:24" s="22" customFormat="1" ht="12.75" customHeight="1">
      <c r="A11" s="604"/>
      <c r="B11" s="241" t="s">
        <v>454</v>
      </c>
      <c r="C11" s="53">
        <f t="shared" si="0"/>
        <v>209417</v>
      </c>
      <c r="D11" s="39">
        <v>8769</v>
      </c>
      <c r="E11" s="39">
        <v>11953</v>
      </c>
      <c r="F11" s="39">
        <v>15741</v>
      </c>
      <c r="G11" s="39">
        <v>14834</v>
      </c>
      <c r="H11" s="39">
        <v>13090</v>
      </c>
      <c r="I11" s="39">
        <v>14686</v>
      </c>
      <c r="J11" s="39">
        <v>18780</v>
      </c>
      <c r="K11" s="39">
        <v>19728</v>
      </c>
      <c r="L11" s="39">
        <v>19871</v>
      </c>
      <c r="M11" s="39">
        <v>18617</v>
      </c>
      <c r="N11" s="39">
        <v>15572</v>
      </c>
      <c r="O11" s="39">
        <v>13167</v>
      </c>
      <c r="P11" s="39">
        <v>9007</v>
      </c>
      <c r="Q11" s="39">
        <v>5140</v>
      </c>
      <c r="R11" s="39">
        <v>4420</v>
      </c>
      <c r="S11" s="39">
        <v>2844</v>
      </c>
      <c r="T11" s="39">
        <v>1784</v>
      </c>
      <c r="U11" s="39">
        <v>965</v>
      </c>
      <c r="V11" s="39">
        <v>357</v>
      </c>
      <c r="W11" s="39">
        <v>81</v>
      </c>
      <c r="X11" s="39">
        <v>11</v>
      </c>
    </row>
    <row r="12" spans="1:24" s="22" customFormat="1" ht="12.75" customHeight="1">
      <c r="A12" s="604" t="s">
        <v>744</v>
      </c>
      <c r="B12" s="241" t="s">
        <v>452</v>
      </c>
      <c r="C12" s="53">
        <f t="shared" si="0"/>
        <v>372429</v>
      </c>
      <c r="D12" s="39">
        <f>SUM(D13:D14)</f>
        <v>17041</v>
      </c>
      <c r="E12" s="39">
        <f aca="true" t="shared" si="5" ref="E12:X12">SUM(E13:E14)</f>
        <v>20825</v>
      </c>
      <c r="F12" s="39">
        <f t="shared" si="5"/>
        <v>25495</v>
      </c>
      <c r="G12" s="39">
        <f t="shared" si="5"/>
        <v>27671</v>
      </c>
      <c r="H12" s="39">
        <f t="shared" si="5"/>
        <v>26368</v>
      </c>
      <c r="I12" s="39">
        <f t="shared" si="5"/>
        <v>29134</v>
      </c>
      <c r="J12" s="39">
        <f t="shared" si="5"/>
        <v>33691</v>
      </c>
      <c r="K12" s="39">
        <f t="shared" si="5"/>
        <v>31786</v>
      </c>
      <c r="L12" s="39">
        <f t="shared" si="5"/>
        <v>31316</v>
      </c>
      <c r="M12" s="39">
        <f t="shared" si="5"/>
        <v>30526</v>
      </c>
      <c r="N12" s="39">
        <f t="shared" si="5"/>
        <v>27119</v>
      </c>
      <c r="O12" s="39">
        <f t="shared" si="5"/>
        <v>23146</v>
      </c>
      <c r="P12" s="39">
        <f t="shared" si="5"/>
        <v>15915</v>
      </c>
      <c r="Q12" s="39">
        <f t="shared" si="5"/>
        <v>9475</v>
      </c>
      <c r="R12" s="39">
        <f t="shared" si="5"/>
        <v>7666</v>
      </c>
      <c r="S12" s="39">
        <f t="shared" si="5"/>
        <v>5604</v>
      </c>
      <c r="T12" s="39">
        <f t="shared" si="5"/>
        <v>6048</v>
      </c>
      <c r="U12" s="39">
        <f t="shared" si="5"/>
        <v>2723</v>
      </c>
      <c r="V12" s="39">
        <f t="shared" si="5"/>
        <v>710</v>
      </c>
      <c r="W12" s="39">
        <f t="shared" si="5"/>
        <v>155</v>
      </c>
      <c r="X12" s="39">
        <f t="shared" si="5"/>
        <v>15</v>
      </c>
    </row>
    <row r="13" spans="1:24" s="22" customFormat="1" ht="12.75" customHeight="1">
      <c r="A13" s="604"/>
      <c r="B13" s="241" t="s">
        <v>453</v>
      </c>
      <c r="C13" s="53">
        <f t="shared" si="0"/>
        <v>185683</v>
      </c>
      <c r="D13" s="39">
        <v>8792</v>
      </c>
      <c r="E13" s="39">
        <v>10985</v>
      </c>
      <c r="F13" s="39">
        <v>13343</v>
      </c>
      <c r="G13" s="39">
        <v>14452</v>
      </c>
      <c r="H13" s="39">
        <v>13777</v>
      </c>
      <c r="I13" s="39">
        <v>14732</v>
      </c>
      <c r="J13" s="39">
        <v>16556</v>
      </c>
      <c r="K13" s="39">
        <v>15796</v>
      </c>
      <c r="L13" s="39">
        <v>15278</v>
      </c>
      <c r="M13" s="39">
        <v>14792</v>
      </c>
      <c r="N13" s="39">
        <v>12970</v>
      </c>
      <c r="O13" s="39">
        <v>10887</v>
      </c>
      <c r="P13" s="39">
        <v>6957</v>
      </c>
      <c r="Q13" s="39">
        <v>3996</v>
      </c>
      <c r="R13" s="39">
        <v>3191</v>
      </c>
      <c r="S13" s="39">
        <v>2820</v>
      </c>
      <c r="T13" s="39">
        <v>4143</v>
      </c>
      <c r="U13" s="39">
        <v>1711</v>
      </c>
      <c r="V13" s="39">
        <v>420</v>
      </c>
      <c r="W13" s="39">
        <v>79</v>
      </c>
      <c r="X13" s="416">
        <v>6</v>
      </c>
    </row>
    <row r="14" spans="1:24" s="22" customFormat="1" ht="12.75" customHeight="1">
      <c r="A14" s="604"/>
      <c r="B14" s="241" t="s">
        <v>454</v>
      </c>
      <c r="C14" s="53">
        <f t="shared" si="0"/>
        <v>186746</v>
      </c>
      <c r="D14" s="39">
        <v>8249</v>
      </c>
      <c r="E14" s="39">
        <v>9840</v>
      </c>
      <c r="F14" s="39">
        <v>12152</v>
      </c>
      <c r="G14" s="39">
        <v>13219</v>
      </c>
      <c r="H14" s="39">
        <v>12591</v>
      </c>
      <c r="I14" s="39">
        <v>14402</v>
      </c>
      <c r="J14" s="39">
        <v>17135</v>
      </c>
      <c r="K14" s="39">
        <v>15990</v>
      </c>
      <c r="L14" s="39">
        <v>16038</v>
      </c>
      <c r="M14" s="39">
        <v>15734</v>
      </c>
      <c r="N14" s="39">
        <v>14149</v>
      </c>
      <c r="O14" s="39">
        <v>12259</v>
      </c>
      <c r="P14" s="39">
        <v>8958</v>
      </c>
      <c r="Q14" s="39">
        <v>5479</v>
      </c>
      <c r="R14" s="39">
        <v>4475</v>
      </c>
      <c r="S14" s="39">
        <v>2784</v>
      </c>
      <c r="T14" s="39">
        <v>1905</v>
      </c>
      <c r="U14" s="39">
        <v>1012</v>
      </c>
      <c r="V14" s="39">
        <v>290</v>
      </c>
      <c r="W14" s="39">
        <v>76</v>
      </c>
      <c r="X14" s="429">
        <v>9</v>
      </c>
    </row>
    <row r="15" spans="1:24" s="22" customFormat="1" ht="12.75" customHeight="1">
      <c r="A15" s="604" t="s">
        <v>745</v>
      </c>
      <c r="B15" s="241" t="s">
        <v>452</v>
      </c>
      <c r="C15" s="53">
        <f t="shared" si="0"/>
        <v>208561</v>
      </c>
      <c r="D15" s="39">
        <f>SUM(D16:D17)</f>
        <v>9231</v>
      </c>
      <c r="E15" s="39">
        <f aca="true" t="shared" si="6" ref="E15:X15">SUM(E16:E17)</f>
        <v>11483</v>
      </c>
      <c r="F15" s="39">
        <f t="shared" si="6"/>
        <v>15382</v>
      </c>
      <c r="G15" s="39">
        <f t="shared" si="6"/>
        <v>16418</v>
      </c>
      <c r="H15" s="39">
        <f t="shared" si="6"/>
        <v>15872</v>
      </c>
      <c r="I15" s="39">
        <f t="shared" si="6"/>
        <v>17472</v>
      </c>
      <c r="J15" s="39">
        <f t="shared" si="6"/>
        <v>19133</v>
      </c>
      <c r="K15" s="39">
        <f t="shared" si="6"/>
        <v>17061</v>
      </c>
      <c r="L15" s="39">
        <f t="shared" si="6"/>
        <v>16433</v>
      </c>
      <c r="M15" s="39">
        <f t="shared" si="6"/>
        <v>16717</v>
      </c>
      <c r="N15" s="39">
        <f t="shared" si="6"/>
        <v>15438</v>
      </c>
      <c r="O15" s="39">
        <f t="shared" si="6"/>
        <v>13466</v>
      </c>
      <c r="P15" s="39">
        <f t="shared" si="6"/>
        <v>8682</v>
      </c>
      <c r="Q15" s="39">
        <f t="shared" si="6"/>
        <v>4898</v>
      </c>
      <c r="R15" s="39">
        <f t="shared" si="6"/>
        <v>3739</v>
      </c>
      <c r="S15" s="39">
        <f t="shared" si="6"/>
        <v>2661</v>
      </c>
      <c r="T15" s="39">
        <f t="shared" si="6"/>
        <v>2894</v>
      </c>
      <c r="U15" s="39">
        <f t="shared" si="6"/>
        <v>1175</v>
      </c>
      <c r="V15" s="39">
        <f t="shared" si="6"/>
        <v>322</v>
      </c>
      <c r="W15" s="39">
        <f t="shared" si="6"/>
        <v>74</v>
      </c>
      <c r="X15" s="39">
        <f t="shared" si="6"/>
        <v>10</v>
      </c>
    </row>
    <row r="16" spans="1:24" s="22" customFormat="1" ht="12.75" customHeight="1">
      <c r="A16" s="604"/>
      <c r="B16" s="241" t="s">
        <v>453</v>
      </c>
      <c r="C16" s="53">
        <f t="shared" si="0"/>
        <v>104912</v>
      </c>
      <c r="D16" s="39">
        <v>4827</v>
      </c>
      <c r="E16" s="39">
        <v>6070</v>
      </c>
      <c r="F16" s="39">
        <v>8097</v>
      </c>
      <c r="G16" s="39">
        <v>8608</v>
      </c>
      <c r="H16" s="39">
        <v>8391</v>
      </c>
      <c r="I16" s="39">
        <v>8890</v>
      </c>
      <c r="J16" s="39">
        <v>9692</v>
      </c>
      <c r="K16" s="39">
        <v>8523</v>
      </c>
      <c r="L16" s="39">
        <v>8105</v>
      </c>
      <c r="M16" s="39">
        <v>8002</v>
      </c>
      <c r="N16" s="39">
        <v>7283</v>
      </c>
      <c r="O16" s="39">
        <v>6225</v>
      </c>
      <c r="P16" s="39">
        <v>3956</v>
      </c>
      <c r="Q16" s="39">
        <v>2216</v>
      </c>
      <c r="R16" s="39">
        <v>1674</v>
      </c>
      <c r="S16" s="39">
        <v>1370</v>
      </c>
      <c r="T16" s="39">
        <v>2044</v>
      </c>
      <c r="U16" s="39">
        <v>751</v>
      </c>
      <c r="V16" s="39">
        <v>152</v>
      </c>
      <c r="W16" s="39">
        <v>31</v>
      </c>
      <c r="X16" s="425">
        <v>5</v>
      </c>
    </row>
    <row r="17" spans="1:24" s="22" customFormat="1" ht="12.75" customHeight="1">
      <c r="A17" s="604"/>
      <c r="B17" s="241" t="s">
        <v>454</v>
      </c>
      <c r="C17" s="53">
        <f t="shared" si="0"/>
        <v>103649</v>
      </c>
      <c r="D17" s="39">
        <v>4404</v>
      </c>
      <c r="E17" s="39">
        <v>5413</v>
      </c>
      <c r="F17" s="39">
        <v>7285</v>
      </c>
      <c r="G17" s="39">
        <v>7810</v>
      </c>
      <c r="H17" s="39">
        <v>7481</v>
      </c>
      <c r="I17" s="39">
        <v>8582</v>
      </c>
      <c r="J17" s="39">
        <v>9441</v>
      </c>
      <c r="K17" s="39">
        <v>8538</v>
      </c>
      <c r="L17" s="39">
        <v>8328</v>
      </c>
      <c r="M17" s="39">
        <v>8715</v>
      </c>
      <c r="N17" s="39">
        <v>8155</v>
      </c>
      <c r="O17" s="39">
        <v>7241</v>
      </c>
      <c r="P17" s="39">
        <v>4726</v>
      </c>
      <c r="Q17" s="39">
        <v>2682</v>
      </c>
      <c r="R17" s="39">
        <v>2065</v>
      </c>
      <c r="S17" s="39">
        <v>1291</v>
      </c>
      <c r="T17" s="39">
        <v>850</v>
      </c>
      <c r="U17" s="39">
        <v>424</v>
      </c>
      <c r="V17" s="39">
        <v>170</v>
      </c>
      <c r="W17" s="39">
        <v>43</v>
      </c>
      <c r="X17" s="425">
        <v>5</v>
      </c>
    </row>
    <row r="18" spans="1:24" s="22" customFormat="1" ht="12.75" customHeight="1">
      <c r="A18" s="604" t="s">
        <v>746</v>
      </c>
      <c r="B18" s="241" t="s">
        <v>452</v>
      </c>
      <c r="C18" s="53">
        <f t="shared" si="0"/>
        <v>177435</v>
      </c>
      <c r="D18" s="39">
        <f>SUM(D19:D20)</f>
        <v>7958</v>
      </c>
      <c r="E18" s="39">
        <f aca="true" t="shared" si="7" ref="E18:X18">SUM(E19:E20)</f>
        <v>9194</v>
      </c>
      <c r="F18" s="39">
        <f t="shared" si="7"/>
        <v>11008</v>
      </c>
      <c r="G18" s="39">
        <f t="shared" si="7"/>
        <v>13047</v>
      </c>
      <c r="H18" s="39">
        <f t="shared" si="7"/>
        <v>13576</v>
      </c>
      <c r="I18" s="39">
        <f t="shared" si="7"/>
        <v>15413</v>
      </c>
      <c r="J18" s="39">
        <f t="shared" si="7"/>
        <v>17110</v>
      </c>
      <c r="K18" s="39">
        <f t="shared" si="7"/>
        <v>14635</v>
      </c>
      <c r="L18" s="39">
        <f t="shared" si="7"/>
        <v>13745</v>
      </c>
      <c r="M18" s="39">
        <f t="shared" si="7"/>
        <v>14068</v>
      </c>
      <c r="N18" s="39">
        <f t="shared" si="7"/>
        <v>13301</v>
      </c>
      <c r="O18" s="39">
        <f t="shared" si="7"/>
        <v>11914</v>
      </c>
      <c r="P18" s="39">
        <f t="shared" si="7"/>
        <v>7928</v>
      </c>
      <c r="Q18" s="39">
        <f t="shared" si="7"/>
        <v>4258</v>
      </c>
      <c r="R18" s="39">
        <f t="shared" si="7"/>
        <v>3045</v>
      </c>
      <c r="S18" s="39">
        <f t="shared" si="7"/>
        <v>2289</v>
      </c>
      <c r="T18" s="39">
        <f t="shared" si="7"/>
        <v>2901</v>
      </c>
      <c r="U18" s="39">
        <f t="shared" si="7"/>
        <v>1529</v>
      </c>
      <c r="V18" s="39">
        <f t="shared" si="7"/>
        <v>392</v>
      </c>
      <c r="W18" s="39">
        <f t="shared" si="7"/>
        <v>105</v>
      </c>
      <c r="X18" s="39">
        <f t="shared" si="7"/>
        <v>19</v>
      </c>
    </row>
    <row r="19" spans="1:24" s="22" customFormat="1" ht="12.75" customHeight="1">
      <c r="A19" s="604"/>
      <c r="B19" s="241" t="s">
        <v>453</v>
      </c>
      <c r="C19" s="53">
        <f t="shared" si="0"/>
        <v>90039</v>
      </c>
      <c r="D19" s="39">
        <v>4064</v>
      </c>
      <c r="E19" s="39">
        <v>4781</v>
      </c>
      <c r="F19" s="39">
        <v>5788</v>
      </c>
      <c r="G19" s="39">
        <v>6824</v>
      </c>
      <c r="H19" s="39">
        <v>7000</v>
      </c>
      <c r="I19" s="39">
        <v>8007</v>
      </c>
      <c r="J19" s="39">
        <v>8812</v>
      </c>
      <c r="K19" s="39">
        <v>7603</v>
      </c>
      <c r="L19" s="39">
        <v>7041</v>
      </c>
      <c r="M19" s="39">
        <v>6732</v>
      </c>
      <c r="N19" s="39">
        <v>6250</v>
      </c>
      <c r="O19" s="39">
        <v>5502</v>
      </c>
      <c r="P19" s="39">
        <v>3566</v>
      </c>
      <c r="Q19" s="39">
        <v>1862</v>
      </c>
      <c r="R19" s="39">
        <v>1262</v>
      </c>
      <c r="S19" s="39">
        <v>1201</v>
      </c>
      <c r="T19" s="39">
        <v>2238</v>
      </c>
      <c r="U19" s="39">
        <v>1167</v>
      </c>
      <c r="V19" s="39">
        <v>254</v>
      </c>
      <c r="W19" s="39">
        <v>71</v>
      </c>
      <c r="X19" s="39">
        <v>14</v>
      </c>
    </row>
    <row r="20" spans="1:24" s="22" customFormat="1" ht="12.75" customHeight="1">
      <c r="A20" s="604"/>
      <c r="B20" s="241" t="s">
        <v>454</v>
      </c>
      <c r="C20" s="53">
        <f t="shared" si="0"/>
        <v>87396</v>
      </c>
      <c r="D20" s="39">
        <v>3894</v>
      </c>
      <c r="E20" s="39">
        <v>4413</v>
      </c>
      <c r="F20" s="39">
        <v>5220</v>
      </c>
      <c r="G20" s="39">
        <v>6223</v>
      </c>
      <c r="H20" s="39">
        <v>6576</v>
      </c>
      <c r="I20" s="39">
        <v>7406</v>
      </c>
      <c r="J20" s="39">
        <v>8298</v>
      </c>
      <c r="K20" s="39">
        <v>7032</v>
      </c>
      <c r="L20" s="39">
        <v>6704</v>
      </c>
      <c r="M20" s="39">
        <v>7336</v>
      </c>
      <c r="N20" s="39">
        <v>7051</v>
      </c>
      <c r="O20" s="39">
        <v>6412</v>
      </c>
      <c r="P20" s="39">
        <v>4362</v>
      </c>
      <c r="Q20" s="39">
        <v>2396</v>
      </c>
      <c r="R20" s="39">
        <v>1783</v>
      </c>
      <c r="S20" s="39">
        <v>1088</v>
      </c>
      <c r="T20" s="39">
        <v>663</v>
      </c>
      <c r="U20" s="39">
        <v>362</v>
      </c>
      <c r="V20" s="39">
        <v>138</v>
      </c>
      <c r="W20" s="39">
        <v>34</v>
      </c>
      <c r="X20" s="39">
        <v>5</v>
      </c>
    </row>
    <row r="21" spans="1:24" s="22" customFormat="1" ht="12.75" customHeight="1">
      <c r="A21" s="604" t="s">
        <v>747</v>
      </c>
      <c r="B21" s="241" t="s">
        <v>452</v>
      </c>
      <c r="C21" s="53">
        <f t="shared" si="0"/>
        <v>152441</v>
      </c>
      <c r="D21" s="39">
        <f>SUM(D22:D23)</f>
        <v>7314</v>
      </c>
      <c r="E21" s="39">
        <f aca="true" t="shared" si="8" ref="E21:X21">SUM(E22:E23)</f>
        <v>8753</v>
      </c>
      <c r="F21" s="39">
        <f t="shared" si="8"/>
        <v>11291</v>
      </c>
      <c r="G21" s="39">
        <f t="shared" si="8"/>
        <v>12250</v>
      </c>
      <c r="H21" s="39">
        <f t="shared" si="8"/>
        <v>11286</v>
      </c>
      <c r="I21" s="39">
        <f t="shared" si="8"/>
        <v>11800</v>
      </c>
      <c r="J21" s="39">
        <f t="shared" si="8"/>
        <v>13374</v>
      </c>
      <c r="K21" s="39">
        <f t="shared" si="8"/>
        <v>12230</v>
      </c>
      <c r="L21" s="39">
        <f t="shared" si="8"/>
        <v>12411</v>
      </c>
      <c r="M21" s="39">
        <f t="shared" si="8"/>
        <v>12941</v>
      </c>
      <c r="N21" s="39">
        <f t="shared" si="8"/>
        <v>11092</v>
      </c>
      <c r="O21" s="39">
        <f t="shared" si="8"/>
        <v>8939</v>
      </c>
      <c r="P21" s="39">
        <f t="shared" si="8"/>
        <v>5832</v>
      </c>
      <c r="Q21" s="39">
        <f t="shared" si="8"/>
        <v>3610</v>
      </c>
      <c r="R21" s="39">
        <f t="shared" si="8"/>
        <v>3352</v>
      </c>
      <c r="S21" s="39">
        <f t="shared" si="8"/>
        <v>2485</v>
      </c>
      <c r="T21" s="39">
        <f t="shared" si="8"/>
        <v>2094</v>
      </c>
      <c r="U21" s="39">
        <f t="shared" si="8"/>
        <v>1003</v>
      </c>
      <c r="V21" s="39">
        <f t="shared" si="8"/>
        <v>317</v>
      </c>
      <c r="W21" s="39">
        <f t="shared" si="8"/>
        <v>58</v>
      </c>
      <c r="X21" s="39">
        <f t="shared" si="8"/>
        <v>9</v>
      </c>
    </row>
    <row r="22" spans="1:24" s="22" customFormat="1" ht="12.75" customHeight="1">
      <c r="A22" s="604"/>
      <c r="B22" s="241" t="s">
        <v>453</v>
      </c>
      <c r="C22" s="53">
        <f t="shared" si="0"/>
        <v>77475</v>
      </c>
      <c r="D22" s="39">
        <v>3887</v>
      </c>
      <c r="E22" s="39">
        <v>4628</v>
      </c>
      <c r="F22" s="39">
        <v>5938</v>
      </c>
      <c r="G22" s="39">
        <v>6319</v>
      </c>
      <c r="H22" s="39">
        <v>5918</v>
      </c>
      <c r="I22" s="39">
        <v>5969</v>
      </c>
      <c r="J22" s="39">
        <v>6606</v>
      </c>
      <c r="K22" s="39">
        <v>6041</v>
      </c>
      <c r="L22" s="39">
        <v>6079</v>
      </c>
      <c r="M22" s="39">
        <v>6579</v>
      </c>
      <c r="N22" s="39">
        <v>5613</v>
      </c>
      <c r="O22" s="39">
        <v>4513</v>
      </c>
      <c r="P22" s="39">
        <v>2933</v>
      </c>
      <c r="Q22" s="39">
        <v>1802</v>
      </c>
      <c r="R22" s="39">
        <v>1549</v>
      </c>
      <c r="S22" s="39">
        <v>1199</v>
      </c>
      <c r="T22" s="39">
        <v>1173</v>
      </c>
      <c r="U22" s="39">
        <v>558</v>
      </c>
      <c r="V22" s="39">
        <v>153</v>
      </c>
      <c r="W22" s="39">
        <v>18</v>
      </c>
      <c r="X22" s="424" t="s">
        <v>651</v>
      </c>
    </row>
    <row r="23" spans="1:24" s="22" customFormat="1" ht="12.75" customHeight="1">
      <c r="A23" s="604"/>
      <c r="B23" s="241" t="s">
        <v>454</v>
      </c>
      <c r="C23" s="53">
        <f t="shared" si="0"/>
        <v>74966</v>
      </c>
      <c r="D23" s="39">
        <v>3427</v>
      </c>
      <c r="E23" s="39">
        <v>4125</v>
      </c>
      <c r="F23" s="39">
        <v>5353</v>
      </c>
      <c r="G23" s="39">
        <v>5931</v>
      </c>
      <c r="H23" s="39">
        <v>5368</v>
      </c>
      <c r="I23" s="39">
        <v>5831</v>
      </c>
      <c r="J23" s="39">
        <v>6768</v>
      </c>
      <c r="K23" s="39">
        <v>6189</v>
      </c>
      <c r="L23" s="39">
        <v>6332</v>
      </c>
      <c r="M23" s="39">
        <v>6362</v>
      </c>
      <c r="N23" s="39">
        <v>5479</v>
      </c>
      <c r="O23" s="39">
        <v>4426</v>
      </c>
      <c r="P23" s="39">
        <v>2899</v>
      </c>
      <c r="Q23" s="39">
        <v>1808</v>
      </c>
      <c r="R23" s="39">
        <v>1803</v>
      </c>
      <c r="S23" s="39">
        <v>1286</v>
      </c>
      <c r="T23" s="39">
        <v>921</v>
      </c>
      <c r="U23" s="39">
        <v>445</v>
      </c>
      <c r="V23" s="39">
        <v>164</v>
      </c>
      <c r="W23" s="39">
        <v>40</v>
      </c>
      <c r="X23" s="425">
        <v>9</v>
      </c>
    </row>
    <row r="24" spans="1:24" s="22" customFormat="1" ht="12.75" customHeight="1">
      <c r="A24" s="604" t="s">
        <v>748</v>
      </c>
      <c r="B24" s="241" t="s">
        <v>452</v>
      </c>
      <c r="C24" s="53">
        <f t="shared" si="0"/>
        <v>91979</v>
      </c>
      <c r="D24" s="39">
        <f>SUM(D25:D26)</f>
        <v>3996</v>
      </c>
      <c r="E24" s="39">
        <f aca="true" t="shared" si="9" ref="E24:X24">SUM(E25:E26)</f>
        <v>4819</v>
      </c>
      <c r="F24" s="39">
        <f t="shared" si="9"/>
        <v>6459</v>
      </c>
      <c r="G24" s="39">
        <f t="shared" si="9"/>
        <v>6956</v>
      </c>
      <c r="H24" s="39">
        <f t="shared" si="9"/>
        <v>6711</v>
      </c>
      <c r="I24" s="39">
        <f t="shared" si="9"/>
        <v>7150</v>
      </c>
      <c r="J24" s="39">
        <f t="shared" si="9"/>
        <v>7818</v>
      </c>
      <c r="K24" s="39">
        <f t="shared" si="9"/>
        <v>7104</v>
      </c>
      <c r="L24" s="39">
        <f t="shared" si="9"/>
        <v>7197</v>
      </c>
      <c r="M24" s="39">
        <f t="shared" si="9"/>
        <v>7359</v>
      </c>
      <c r="N24" s="39">
        <f t="shared" si="9"/>
        <v>6769</v>
      </c>
      <c r="O24" s="39">
        <f t="shared" si="9"/>
        <v>5710</v>
      </c>
      <c r="P24" s="39">
        <f t="shared" si="9"/>
        <v>4015</v>
      </c>
      <c r="Q24" s="39">
        <f t="shared" si="9"/>
        <v>2492</v>
      </c>
      <c r="R24" s="39">
        <f t="shared" si="9"/>
        <v>2395</v>
      </c>
      <c r="S24" s="39">
        <f t="shared" si="9"/>
        <v>1932</v>
      </c>
      <c r="T24" s="39">
        <f t="shared" si="9"/>
        <v>1771</v>
      </c>
      <c r="U24" s="39">
        <f t="shared" si="9"/>
        <v>961</v>
      </c>
      <c r="V24" s="39">
        <f t="shared" si="9"/>
        <v>292</v>
      </c>
      <c r="W24" s="39">
        <f t="shared" si="9"/>
        <v>62</v>
      </c>
      <c r="X24" s="39">
        <f t="shared" si="9"/>
        <v>11</v>
      </c>
    </row>
    <row r="25" spans="1:24" s="22" customFormat="1" ht="12.75" customHeight="1">
      <c r="A25" s="604"/>
      <c r="B25" s="241" t="s">
        <v>453</v>
      </c>
      <c r="C25" s="53">
        <f t="shared" si="0"/>
        <v>47408</v>
      </c>
      <c r="D25" s="39">
        <v>2098</v>
      </c>
      <c r="E25" s="39">
        <v>2540</v>
      </c>
      <c r="F25" s="39">
        <v>3386</v>
      </c>
      <c r="G25" s="39">
        <v>3690</v>
      </c>
      <c r="H25" s="39">
        <v>3480</v>
      </c>
      <c r="I25" s="39">
        <v>3749</v>
      </c>
      <c r="J25" s="39">
        <v>4023</v>
      </c>
      <c r="K25" s="39">
        <v>3603</v>
      </c>
      <c r="L25" s="39">
        <v>3869</v>
      </c>
      <c r="M25" s="39">
        <v>3819</v>
      </c>
      <c r="N25" s="39">
        <v>3501</v>
      </c>
      <c r="O25" s="39">
        <v>2758</v>
      </c>
      <c r="P25" s="39">
        <v>1889</v>
      </c>
      <c r="Q25" s="39">
        <v>1121</v>
      </c>
      <c r="R25" s="39">
        <v>1103</v>
      </c>
      <c r="S25" s="39">
        <v>920</v>
      </c>
      <c r="T25" s="39">
        <v>1080</v>
      </c>
      <c r="U25" s="39">
        <v>586</v>
      </c>
      <c r="V25" s="39">
        <v>166</v>
      </c>
      <c r="W25" s="39">
        <v>22</v>
      </c>
      <c r="X25" s="39">
        <v>5</v>
      </c>
    </row>
    <row r="26" spans="1:24" s="22" customFormat="1" ht="12.75" customHeight="1">
      <c r="A26" s="604"/>
      <c r="B26" s="241" t="s">
        <v>454</v>
      </c>
      <c r="C26" s="53">
        <f t="shared" si="0"/>
        <v>44571</v>
      </c>
      <c r="D26" s="39">
        <v>1898</v>
      </c>
      <c r="E26" s="39">
        <v>2279</v>
      </c>
      <c r="F26" s="39">
        <v>3073</v>
      </c>
      <c r="G26" s="39">
        <v>3266</v>
      </c>
      <c r="H26" s="39">
        <v>3231</v>
      </c>
      <c r="I26" s="39">
        <v>3401</v>
      </c>
      <c r="J26" s="39">
        <v>3795</v>
      </c>
      <c r="K26" s="39">
        <v>3501</v>
      </c>
      <c r="L26" s="39">
        <v>3328</v>
      </c>
      <c r="M26" s="39">
        <v>3540</v>
      </c>
      <c r="N26" s="39">
        <v>3268</v>
      </c>
      <c r="O26" s="39">
        <v>2952</v>
      </c>
      <c r="P26" s="39">
        <v>2126</v>
      </c>
      <c r="Q26" s="39">
        <v>1371</v>
      </c>
      <c r="R26" s="39">
        <v>1292</v>
      </c>
      <c r="S26" s="39">
        <v>1012</v>
      </c>
      <c r="T26" s="39">
        <v>691</v>
      </c>
      <c r="U26" s="39">
        <v>375</v>
      </c>
      <c r="V26" s="39">
        <v>126</v>
      </c>
      <c r="W26" s="39">
        <v>40</v>
      </c>
      <c r="X26" s="39">
        <v>6</v>
      </c>
    </row>
    <row r="27" spans="1:24" s="22" customFormat="1" ht="12.75" customHeight="1">
      <c r="A27" s="604" t="s">
        <v>749</v>
      </c>
      <c r="B27" s="241" t="s">
        <v>452</v>
      </c>
      <c r="C27" s="53">
        <f t="shared" si="0"/>
        <v>143886</v>
      </c>
      <c r="D27" s="39">
        <f>SUM(D28:D29)</f>
        <v>8323</v>
      </c>
      <c r="E27" s="39">
        <f aca="true" t="shared" si="10" ref="E27:X27">SUM(E28:E29)</f>
        <v>10074</v>
      </c>
      <c r="F27" s="39">
        <f t="shared" si="10"/>
        <v>11372</v>
      </c>
      <c r="G27" s="39">
        <f t="shared" si="10"/>
        <v>11037</v>
      </c>
      <c r="H27" s="39">
        <f t="shared" si="10"/>
        <v>9131</v>
      </c>
      <c r="I27" s="39">
        <f t="shared" si="10"/>
        <v>9554</v>
      </c>
      <c r="J27" s="39">
        <f t="shared" si="10"/>
        <v>13708</v>
      </c>
      <c r="K27" s="39">
        <f t="shared" si="10"/>
        <v>14136</v>
      </c>
      <c r="L27" s="39">
        <f t="shared" si="10"/>
        <v>13801</v>
      </c>
      <c r="M27" s="39">
        <f t="shared" si="10"/>
        <v>12124</v>
      </c>
      <c r="N27" s="39">
        <f t="shared" si="10"/>
        <v>9363</v>
      </c>
      <c r="O27" s="39">
        <f t="shared" si="10"/>
        <v>7290</v>
      </c>
      <c r="P27" s="39">
        <f t="shared" si="10"/>
        <v>4845</v>
      </c>
      <c r="Q27" s="39">
        <f t="shared" si="10"/>
        <v>2847</v>
      </c>
      <c r="R27" s="39">
        <f t="shared" si="10"/>
        <v>2405</v>
      </c>
      <c r="S27" s="39">
        <f t="shared" si="10"/>
        <v>1704</v>
      </c>
      <c r="T27" s="39">
        <f t="shared" si="10"/>
        <v>1221</v>
      </c>
      <c r="U27" s="39">
        <f t="shared" si="10"/>
        <v>651</v>
      </c>
      <c r="V27" s="39">
        <f t="shared" si="10"/>
        <v>246</v>
      </c>
      <c r="W27" s="39">
        <f t="shared" si="10"/>
        <v>49</v>
      </c>
      <c r="X27" s="39">
        <f t="shared" si="10"/>
        <v>5</v>
      </c>
    </row>
    <row r="28" spans="1:24" s="22" customFormat="1" ht="12.75" customHeight="1">
      <c r="A28" s="604"/>
      <c r="B28" s="241" t="s">
        <v>453</v>
      </c>
      <c r="C28" s="53">
        <f t="shared" si="0"/>
        <v>72040</v>
      </c>
      <c r="D28" s="39">
        <v>4382</v>
      </c>
      <c r="E28" s="39">
        <v>5335</v>
      </c>
      <c r="F28" s="39">
        <v>5830</v>
      </c>
      <c r="G28" s="39">
        <v>5777</v>
      </c>
      <c r="H28" s="39">
        <v>4695</v>
      </c>
      <c r="I28" s="39">
        <v>4692</v>
      </c>
      <c r="J28" s="39">
        <v>6351</v>
      </c>
      <c r="K28" s="39">
        <v>6713</v>
      </c>
      <c r="L28" s="39">
        <v>6744</v>
      </c>
      <c r="M28" s="39">
        <v>6170</v>
      </c>
      <c r="N28" s="39">
        <v>4816</v>
      </c>
      <c r="O28" s="39">
        <v>3692</v>
      </c>
      <c r="P28" s="39">
        <v>2475</v>
      </c>
      <c r="Q28" s="39">
        <v>1372</v>
      </c>
      <c r="R28" s="39">
        <v>1145</v>
      </c>
      <c r="S28" s="39">
        <v>784</v>
      </c>
      <c r="T28" s="39">
        <v>639</v>
      </c>
      <c r="U28" s="39">
        <v>287</v>
      </c>
      <c r="V28" s="39">
        <v>116</v>
      </c>
      <c r="W28" s="39">
        <v>22</v>
      </c>
      <c r="X28" s="39">
        <v>3</v>
      </c>
    </row>
    <row r="29" spans="1:24" s="22" customFormat="1" ht="12.75" customHeight="1">
      <c r="A29" s="604"/>
      <c r="B29" s="241" t="s">
        <v>454</v>
      </c>
      <c r="C29" s="53">
        <f t="shared" si="0"/>
        <v>71846</v>
      </c>
      <c r="D29" s="39">
        <v>3941</v>
      </c>
      <c r="E29" s="39">
        <v>4739</v>
      </c>
      <c r="F29" s="39">
        <v>5542</v>
      </c>
      <c r="G29" s="39">
        <v>5260</v>
      </c>
      <c r="H29" s="39">
        <v>4436</v>
      </c>
      <c r="I29" s="39">
        <v>4862</v>
      </c>
      <c r="J29" s="39">
        <v>7357</v>
      </c>
      <c r="K29" s="39">
        <v>7423</v>
      </c>
      <c r="L29" s="39">
        <v>7057</v>
      </c>
      <c r="M29" s="39">
        <v>5954</v>
      </c>
      <c r="N29" s="39">
        <v>4547</v>
      </c>
      <c r="O29" s="39">
        <v>3598</v>
      </c>
      <c r="P29" s="39">
        <v>2370</v>
      </c>
      <c r="Q29" s="39">
        <v>1475</v>
      </c>
      <c r="R29" s="39">
        <v>1260</v>
      </c>
      <c r="S29" s="39">
        <v>920</v>
      </c>
      <c r="T29" s="39">
        <v>582</v>
      </c>
      <c r="U29" s="39">
        <v>364</v>
      </c>
      <c r="V29" s="39">
        <v>130</v>
      </c>
      <c r="W29" s="39">
        <v>27</v>
      </c>
      <c r="X29" s="39">
        <v>2</v>
      </c>
    </row>
    <row r="30" spans="1:24" s="22" customFormat="1" ht="12.75" customHeight="1">
      <c r="A30" s="604" t="s">
        <v>750</v>
      </c>
      <c r="B30" s="241" t="s">
        <v>780</v>
      </c>
      <c r="C30" s="53">
        <f t="shared" si="0"/>
        <v>82136</v>
      </c>
      <c r="D30" s="39">
        <f>SUM(D31:D32)</f>
        <v>3866</v>
      </c>
      <c r="E30" s="39">
        <f aca="true" t="shared" si="11" ref="E30:X30">SUM(E31:E32)</f>
        <v>4650</v>
      </c>
      <c r="F30" s="39">
        <f t="shared" si="11"/>
        <v>5786</v>
      </c>
      <c r="G30" s="39">
        <f t="shared" si="11"/>
        <v>6598</v>
      </c>
      <c r="H30" s="39">
        <f t="shared" si="11"/>
        <v>6461</v>
      </c>
      <c r="I30" s="39">
        <f t="shared" si="11"/>
        <v>6768</v>
      </c>
      <c r="J30" s="39">
        <f t="shared" si="11"/>
        <v>7116</v>
      </c>
      <c r="K30" s="39">
        <f t="shared" si="11"/>
        <v>6111</v>
      </c>
      <c r="L30" s="39">
        <f t="shared" si="11"/>
        <v>6347</v>
      </c>
      <c r="M30" s="39">
        <f t="shared" si="11"/>
        <v>6920</v>
      </c>
      <c r="N30" s="39">
        <f t="shared" si="11"/>
        <v>6037</v>
      </c>
      <c r="O30" s="39">
        <f t="shared" si="11"/>
        <v>4925</v>
      </c>
      <c r="P30" s="39">
        <f t="shared" si="11"/>
        <v>3102</v>
      </c>
      <c r="Q30" s="39">
        <f t="shared" si="11"/>
        <v>2016</v>
      </c>
      <c r="R30" s="39">
        <f t="shared" si="11"/>
        <v>1982</v>
      </c>
      <c r="S30" s="39">
        <f t="shared" si="11"/>
        <v>1538</v>
      </c>
      <c r="T30" s="39">
        <f t="shared" si="11"/>
        <v>1139</v>
      </c>
      <c r="U30" s="39">
        <f t="shared" si="11"/>
        <v>548</v>
      </c>
      <c r="V30" s="39">
        <f t="shared" si="11"/>
        <v>170</v>
      </c>
      <c r="W30" s="39">
        <f t="shared" si="11"/>
        <v>43</v>
      </c>
      <c r="X30" s="39">
        <f t="shared" si="11"/>
        <v>13</v>
      </c>
    </row>
    <row r="31" spans="1:24" s="22" customFormat="1" ht="12.75" customHeight="1">
      <c r="A31" s="604"/>
      <c r="B31" s="241" t="s">
        <v>453</v>
      </c>
      <c r="C31" s="53">
        <f t="shared" si="0"/>
        <v>42600</v>
      </c>
      <c r="D31" s="39">
        <v>2005</v>
      </c>
      <c r="E31" s="39">
        <v>2460</v>
      </c>
      <c r="F31" s="39">
        <v>3036</v>
      </c>
      <c r="G31" s="39">
        <v>3478</v>
      </c>
      <c r="H31" s="39">
        <v>3409</v>
      </c>
      <c r="I31" s="39">
        <v>3332</v>
      </c>
      <c r="J31" s="39">
        <v>3509</v>
      </c>
      <c r="K31" s="39">
        <v>3150</v>
      </c>
      <c r="L31" s="39">
        <v>3374</v>
      </c>
      <c r="M31" s="39">
        <v>3734</v>
      </c>
      <c r="N31" s="39">
        <v>3292</v>
      </c>
      <c r="O31" s="39">
        <v>2607</v>
      </c>
      <c r="P31" s="39">
        <v>1668</v>
      </c>
      <c r="Q31" s="39">
        <v>986</v>
      </c>
      <c r="R31" s="39">
        <v>945</v>
      </c>
      <c r="S31" s="39">
        <v>707</v>
      </c>
      <c r="T31" s="39">
        <v>575</v>
      </c>
      <c r="U31" s="39">
        <v>253</v>
      </c>
      <c r="V31" s="39">
        <v>66</v>
      </c>
      <c r="W31" s="39">
        <v>11</v>
      </c>
      <c r="X31" s="39">
        <v>3</v>
      </c>
    </row>
    <row r="32" spans="1:24" s="22" customFormat="1" ht="12.75" customHeight="1">
      <c r="A32" s="604"/>
      <c r="B32" s="241" t="s">
        <v>454</v>
      </c>
      <c r="C32" s="53">
        <f t="shared" si="0"/>
        <v>39536</v>
      </c>
      <c r="D32" s="39">
        <v>1861</v>
      </c>
      <c r="E32" s="39">
        <v>2190</v>
      </c>
      <c r="F32" s="39">
        <v>2750</v>
      </c>
      <c r="G32" s="39">
        <v>3120</v>
      </c>
      <c r="H32" s="39">
        <v>3052</v>
      </c>
      <c r="I32" s="39">
        <v>3436</v>
      </c>
      <c r="J32" s="39">
        <v>3607</v>
      </c>
      <c r="K32" s="39">
        <v>2961</v>
      </c>
      <c r="L32" s="39">
        <v>2973</v>
      </c>
      <c r="M32" s="39">
        <v>3186</v>
      </c>
      <c r="N32" s="39">
        <v>2745</v>
      </c>
      <c r="O32" s="39">
        <v>2318</v>
      </c>
      <c r="P32" s="39">
        <v>1434</v>
      </c>
      <c r="Q32" s="39">
        <v>1030</v>
      </c>
      <c r="R32" s="39">
        <v>1037</v>
      </c>
      <c r="S32" s="39">
        <v>831</v>
      </c>
      <c r="T32" s="39">
        <v>564</v>
      </c>
      <c r="U32" s="39">
        <v>295</v>
      </c>
      <c r="V32" s="39">
        <v>104</v>
      </c>
      <c r="W32" s="39">
        <v>32</v>
      </c>
      <c r="X32" s="39">
        <v>10</v>
      </c>
    </row>
    <row r="33" spans="1:24" s="22" customFormat="1" ht="12.75" customHeight="1">
      <c r="A33" s="604" t="s">
        <v>751</v>
      </c>
      <c r="B33" s="241" t="s">
        <v>452</v>
      </c>
      <c r="C33" s="53">
        <f t="shared" si="0"/>
        <v>138355</v>
      </c>
      <c r="D33" s="39">
        <f>SUM(D34:D35)</f>
        <v>6540</v>
      </c>
      <c r="E33" s="39">
        <f aca="true" t="shared" si="12" ref="E33:X33">SUM(E34:E35)</f>
        <v>7441</v>
      </c>
      <c r="F33" s="39">
        <f t="shared" si="12"/>
        <v>8379</v>
      </c>
      <c r="G33" s="39">
        <f t="shared" si="12"/>
        <v>10049</v>
      </c>
      <c r="H33" s="39">
        <f t="shared" si="12"/>
        <v>9902</v>
      </c>
      <c r="I33" s="39">
        <f t="shared" si="12"/>
        <v>11284</v>
      </c>
      <c r="J33" s="39">
        <f t="shared" si="12"/>
        <v>13650</v>
      </c>
      <c r="K33" s="39">
        <f t="shared" si="12"/>
        <v>11977</v>
      </c>
      <c r="L33" s="39">
        <f t="shared" si="12"/>
        <v>11223</v>
      </c>
      <c r="M33" s="39">
        <f t="shared" si="12"/>
        <v>11467</v>
      </c>
      <c r="N33" s="39">
        <f t="shared" si="12"/>
        <v>10229</v>
      </c>
      <c r="O33" s="39">
        <f t="shared" si="12"/>
        <v>8970</v>
      </c>
      <c r="P33" s="39">
        <f t="shared" si="12"/>
        <v>5958</v>
      </c>
      <c r="Q33" s="39">
        <f t="shared" si="12"/>
        <v>3370</v>
      </c>
      <c r="R33" s="39">
        <f t="shared" si="12"/>
        <v>2712</v>
      </c>
      <c r="S33" s="39">
        <f t="shared" si="12"/>
        <v>1911</v>
      </c>
      <c r="T33" s="39">
        <f t="shared" si="12"/>
        <v>1983</v>
      </c>
      <c r="U33" s="39">
        <f t="shared" si="12"/>
        <v>947</v>
      </c>
      <c r="V33" s="39">
        <f t="shared" si="12"/>
        <v>308</v>
      </c>
      <c r="W33" s="39">
        <f t="shared" si="12"/>
        <v>44</v>
      </c>
      <c r="X33" s="39">
        <f t="shared" si="12"/>
        <v>11</v>
      </c>
    </row>
    <row r="34" spans="1:24" s="22" customFormat="1" ht="12.75" customHeight="1">
      <c r="A34" s="604"/>
      <c r="B34" s="241" t="s">
        <v>453</v>
      </c>
      <c r="C34" s="53">
        <f t="shared" si="0"/>
        <v>69924</v>
      </c>
      <c r="D34" s="39">
        <v>3337</v>
      </c>
      <c r="E34" s="39">
        <v>3909</v>
      </c>
      <c r="F34" s="39">
        <v>4379</v>
      </c>
      <c r="G34" s="39">
        <v>5305</v>
      </c>
      <c r="H34" s="39">
        <v>5195</v>
      </c>
      <c r="I34" s="39">
        <v>5645</v>
      </c>
      <c r="J34" s="39">
        <v>6642</v>
      </c>
      <c r="K34" s="39">
        <v>6064</v>
      </c>
      <c r="L34" s="39">
        <v>5733</v>
      </c>
      <c r="M34" s="39">
        <v>5693</v>
      </c>
      <c r="N34" s="39">
        <v>5052</v>
      </c>
      <c r="O34" s="39">
        <v>4396</v>
      </c>
      <c r="P34" s="39">
        <v>2834</v>
      </c>
      <c r="Q34" s="39">
        <v>1480</v>
      </c>
      <c r="R34" s="39">
        <v>1159</v>
      </c>
      <c r="S34" s="39">
        <v>941</v>
      </c>
      <c r="T34" s="39">
        <v>1343</v>
      </c>
      <c r="U34" s="39">
        <v>624</v>
      </c>
      <c r="V34" s="39">
        <v>169</v>
      </c>
      <c r="W34" s="39">
        <v>18</v>
      </c>
      <c r="X34" s="425">
        <v>6</v>
      </c>
    </row>
    <row r="35" spans="1:24" s="22" customFormat="1" ht="12.75" customHeight="1">
      <c r="A35" s="604"/>
      <c r="B35" s="241" t="s">
        <v>454</v>
      </c>
      <c r="C35" s="53">
        <f t="shared" si="0"/>
        <v>68431</v>
      </c>
      <c r="D35" s="39">
        <v>3203</v>
      </c>
      <c r="E35" s="39">
        <v>3532</v>
      </c>
      <c r="F35" s="39">
        <v>4000</v>
      </c>
      <c r="G35" s="39">
        <v>4744</v>
      </c>
      <c r="H35" s="39">
        <v>4707</v>
      </c>
      <c r="I35" s="39">
        <v>5639</v>
      </c>
      <c r="J35" s="39">
        <v>7008</v>
      </c>
      <c r="K35" s="39">
        <v>5913</v>
      </c>
      <c r="L35" s="39">
        <v>5490</v>
      </c>
      <c r="M35" s="39">
        <v>5774</v>
      </c>
      <c r="N35" s="39">
        <v>5177</v>
      </c>
      <c r="O35" s="39">
        <v>4574</v>
      </c>
      <c r="P35" s="39">
        <v>3124</v>
      </c>
      <c r="Q35" s="39">
        <v>1890</v>
      </c>
      <c r="R35" s="39">
        <v>1553</v>
      </c>
      <c r="S35" s="39">
        <v>970</v>
      </c>
      <c r="T35" s="39">
        <v>640</v>
      </c>
      <c r="U35" s="39">
        <v>323</v>
      </c>
      <c r="V35" s="39">
        <v>139</v>
      </c>
      <c r="W35" s="39">
        <v>26</v>
      </c>
      <c r="X35" s="425">
        <v>5</v>
      </c>
    </row>
    <row r="36" spans="1:24" s="22" customFormat="1" ht="12.75" customHeight="1">
      <c r="A36" s="604" t="s">
        <v>752</v>
      </c>
      <c r="B36" s="241" t="s">
        <v>452</v>
      </c>
      <c r="C36" s="53">
        <f t="shared" si="0"/>
        <v>114958</v>
      </c>
      <c r="D36" s="39">
        <f>SUM(D37:D38)</f>
        <v>4690</v>
      </c>
      <c r="E36" s="39">
        <f aca="true" t="shared" si="13" ref="E36:X36">SUM(E37:E38)</f>
        <v>6052</v>
      </c>
      <c r="F36" s="39">
        <f t="shared" si="13"/>
        <v>7998</v>
      </c>
      <c r="G36" s="39">
        <f t="shared" si="13"/>
        <v>9233</v>
      </c>
      <c r="H36" s="39">
        <f t="shared" si="13"/>
        <v>8696</v>
      </c>
      <c r="I36" s="39">
        <f t="shared" si="13"/>
        <v>8807</v>
      </c>
      <c r="J36" s="39">
        <f t="shared" si="13"/>
        <v>9831</v>
      </c>
      <c r="K36" s="39">
        <f t="shared" si="13"/>
        <v>8539</v>
      </c>
      <c r="L36" s="39">
        <f t="shared" si="13"/>
        <v>9175</v>
      </c>
      <c r="M36" s="39">
        <f t="shared" si="13"/>
        <v>9688</v>
      </c>
      <c r="N36" s="39">
        <f t="shared" si="13"/>
        <v>8926</v>
      </c>
      <c r="O36" s="39">
        <f t="shared" si="13"/>
        <v>7786</v>
      </c>
      <c r="P36" s="39">
        <f t="shared" si="13"/>
        <v>5070</v>
      </c>
      <c r="Q36" s="39">
        <f t="shared" si="13"/>
        <v>2830</v>
      </c>
      <c r="R36" s="39">
        <f t="shared" si="13"/>
        <v>2357</v>
      </c>
      <c r="S36" s="39">
        <f t="shared" si="13"/>
        <v>1876</v>
      </c>
      <c r="T36" s="39">
        <f t="shared" si="13"/>
        <v>2138</v>
      </c>
      <c r="U36" s="39">
        <f t="shared" si="13"/>
        <v>966</v>
      </c>
      <c r="V36" s="39">
        <f t="shared" si="13"/>
        <v>245</v>
      </c>
      <c r="W36" s="39">
        <f t="shared" si="13"/>
        <v>47</v>
      </c>
      <c r="X36" s="39">
        <f t="shared" si="13"/>
        <v>8</v>
      </c>
    </row>
    <row r="37" spans="1:24" s="22" customFormat="1" ht="12.75" customHeight="1">
      <c r="A37" s="604"/>
      <c r="B37" s="241" t="s">
        <v>453</v>
      </c>
      <c r="C37" s="53">
        <f t="shared" si="0"/>
        <v>58348</v>
      </c>
      <c r="D37" s="39">
        <v>2478</v>
      </c>
      <c r="E37" s="39">
        <v>3139</v>
      </c>
      <c r="F37" s="39">
        <v>4151</v>
      </c>
      <c r="G37" s="39">
        <v>4836</v>
      </c>
      <c r="H37" s="39">
        <v>4451</v>
      </c>
      <c r="I37" s="39">
        <v>4556</v>
      </c>
      <c r="J37" s="39">
        <v>5006</v>
      </c>
      <c r="K37" s="39">
        <v>4233</v>
      </c>
      <c r="L37" s="39">
        <v>4573</v>
      </c>
      <c r="M37" s="39">
        <v>4796</v>
      </c>
      <c r="N37" s="39">
        <v>4341</v>
      </c>
      <c r="O37" s="39">
        <v>3741</v>
      </c>
      <c r="P37" s="39">
        <v>2425</v>
      </c>
      <c r="Q37" s="39">
        <v>1296</v>
      </c>
      <c r="R37" s="39">
        <v>1096</v>
      </c>
      <c r="S37" s="39">
        <v>945</v>
      </c>
      <c r="T37" s="39">
        <v>1476</v>
      </c>
      <c r="U37" s="39">
        <v>645</v>
      </c>
      <c r="V37" s="39">
        <v>139</v>
      </c>
      <c r="W37" s="39">
        <v>21</v>
      </c>
      <c r="X37" s="39">
        <v>4</v>
      </c>
    </row>
    <row r="38" spans="1:24" s="22" customFormat="1" ht="12.75" customHeight="1">
      <c r="A38" s="604"/>
      <c r="B38" s="241" t="s">
        <v>454</v>
      </c>
      <c r="C38" s="53">
        <f t="shared" si="0"/>
        <v>56610</v>
      </c>
      <c r="D38" s="39">
        <v>2212</v>
      </c>
      <c r="E38" s="39">
        <v>2913</v>
      </c>
      <c r="F38" s="39">
        <v>3847</v>
      </c>
      <c r="G38" s="39">
        <v>4397</v>
      </c>
      <c r="H38" s="39">
        <v>4245</v>
      </c>
      <c r="I38" s="39">
        <v>4251</v>
      </c>
      <c r="J38" s="39">
        <v>4825</v>
      </c>
      <c r="K38" s="39">
        <v>4306</v>
      </c>
      <c r="L38" s="39">
        <v>4602</v>
      </c>
      <c r="M38" s="39">
        <v>4892</v>
      </c>
      <c r="N38" s="39">
        <v>4585</v>
      </c>
      <c r="O38" s="39">
        <v>4045</v>
      </c>
      <c r="P38" s="39">
        <v>2645</v>
      </c>
      <c r="Q38" s="39">
        <v>1534</v>
      </c>
      <c r="R38" s="39">
        <v>1261</v>
      </c>
      <c r="S38" s="39">
        <v>931</v>
      </c>
      <c r="T38" s="39">
        <v>662</v>
      </c>
      <c r="U38" s="39">
        <v>321</v>
      </c>
      <c r="V38" s="39">
        <v>106</v>
      </c>
      <c r="W38" s="39">
        <v>26</v>
      </c>
      <c r="X38" s="39">
        <v>4</v>
      </c>
    </row>
    <row r="39" spans="1:24" s="22" customFormat="1" ht="12.75" customHeight="1">
      <c r="A39" s="604" t="s">
        <v>753</v>
      </c>
      <c r="B39" s="241" t="s">
        <v>452</v>
      </c>
      <c r="C39" s="53">
        <f t="shared" si="0"/>
        <v>48652</v>
      </c>
      <c r="D39" s="39">
        <f>SUM(D40:D41)</f>
        <v>1785</v>
      </c>
      <c r="E39" s="39">
        <f aca="true" t="shared" si="14" ref="E39:X39">SUM(E40:E41)</f>
        <v>2352</v>
      </c>
      <c r="F39" s="39">
        <f t="shared" si="14"/>
        <v>3128</v>
      </c>
      <c r="G39" s="39">
        <f t="shared" si="14"/>
        <v>3780</v>
      </c>
      <c r="H39" s="39">
        <f t="shared" si="14"/>
        <v>3624</v>
      </c>
      <c r="I39" s="39">
        <f t="shared" si="14"/>
        <v>3396</v>
      </c>
      <c r="J39" s="39">
        <f t="shared" si="14"/>
        <v>3501</v>
      </c>
      <c r="K39" s="39">
        <f t="shared" si="14"/>
        <v>3148</v>
      </c>
      <c r="L39" s="39">
        <f t="shared" si="14"/>
        <v>3559</v>
      </c>
      <c r="M39" s="39">
        <f t="shared" si="14"/>
        <v>4275</v>
      </c>
      <c r="N39" s="39">
        <f t="shared" si="14"/>
        <v>3770</v>
      </c>
      <c r="O39" s="39">
        <f t="shared" si="14"/>
        <v>3112</v>
      </c>
      <c r="P39" s="39">
        <f t="shared" si="14"/>
        <v>2149</v>
      </c>
      <c r="Q39" s="39">
        <f t="shared" si="14"/>
        <v>1690</v>
      </c>
      <c r="R39" s="39">
        <f t="shared" si="14"/>
        <v>1992</v>
      </c>
      <c r="S39" s="39">
        <f t="shared" si="14"/>
        <v>1468</v>
      </c>
      <c r="T39" s="39">
        <f t="shared" si="14"/>
        <v>1132</v>
      </c>
      <c r="U39" s="39">
        <f t="shared" si="14"/>
        <v>559</v>
      </c>
      <c r="V39" s="39">
        <f t="shared" si="14"/>
        <v>181</v>
      </c>
      <c r="W39" s="39">
        <f t="shared" si="14"/>
        <v>45</v>
      </c>
      <c r="X39" s="39">
        <f t="shared" si="14"/>
        <v>6</v>
      </c>
    </row>
    <row r="40" spans="1:24" s="22" customFormat="1" ht="12.75" customHeight="1">
      <c r="A40" s="604"/>
      <c r="B40" s="241" t="s">
        <v>453</v>
      </c>
      <c r="C40" s="53">
        <f t="shared" si="0"/>
        <v>26063</v>
      </c>
      <c r="D40" s="39">
        <v>965</v>
      </c>
      <c r="E40" s="39">
        <v>1274</v>
      </c>
      <c r="F40" s="39">
        <v>1573</v>
      </c>
      <c r="G40" s="39">
        <v>2008</v>
      </c>
      <c r="H40" s="39">
        <v>1927</v>
      </c>
      <c r="I40" s="39">
        <v>1796</v>
      </c>
      <c r="J40" s="39">
        <v>1866</v>
      </c>
      <c r="K40" s="39">
        <v>1661</v>
      </c>
      <c r="L40" s="39">
        <v>1926</v>
      </c>
      <c r="M40" s="39">
        <v>2470</v>
      </c>
      <c r="N40" s="39">
        <v>2161</v>
      </c>
      <c r="O40" s="39">
        <v>1775</v>
      </c>
      <c r="P40" s="39">
        <v>1268</v>
      </c>
      <c r="Q40" s="39">
        <v>861</v>
      </c>
      <c r="R40" s="39">
        <v>950</v>
      </c>
      <c r="S40" s="39">
        <v>697</v>
      </c>
      <c r="T40" s="39">
        <v>560</v>
      </c>
      <c r="U40" s="39">
        <v>244</v>
      </c>
      <c r="V40" s="39">
        <v>68</v>
      </c>
      <c r="W40" s="39">
        <v>12</v>
      </c>
      <c r="X40" s="445">
        <v>1</v>
      </c>
    </row>
    <row r="41" spans="1:24" s="22" customFormat="1" ht="12.75" customHeight="1">
      <c r="A41" s="604"/>
      <c r="B41" s="241" t="s">
        <v>454</v>
      </c>
      <c r="C41" s="53">
        <f t="shared" si="0"/>
        <v>22589</v>
      </c>
      <c r="D41" s="39">
        <v>820</v>
      </c>
      <c r="E41" s="39">
        <v>1078</v>
      </c>
      <c r="F41" s="39">
        <v>1555</v>
      </c>
      <c r="G41" s="39">
        <v>1772</v>
      </c>
      <c r="H41" s="39">
        <v>1697</v>
      </c>
      <c r="I41" s="39">
        <v>1600</v>
      </c>
      <c r="J41" s="39">
        <v>1635</v>
      </c>
      <c r="K41" s="39">
        <v>1487</v>
      </c>
      <c r="L41" s="39">
        <v>1633</v>
      </c>
      <c r="M41" s="39">
        <v>1805</v>
      </c>
      <c r="N41" s="39">
        <v>1609</v>
      </c>
      <c r="O41" s="39">
        <v>1337</v>
      </c>
      <c r="P41" s="39">
        <v>881</v>
      </c>
      <c r="Q41" s="39">
        <v>829</v>
      </c>
      <c r="R41" s="39">
        <v>1042</v>
      </c>
      <c r="S41" s="39">
        <v>771</v>
      </c>
      <c r="T41" s="39">
        <v>572</v>
      </c>
      <c r="U41" s="39">
        <v>315</v>
      </c>
      <c r="V41" s="39">
        <v>113</v>
      </c>
      <c r="W41" s="39">
        <v>33</v>
      </c>
      <c r="X41" s="445">
        <v>5</v>
      </c>
    </row>
    <row r="42" spans="1:25" s="22" customFormat="1" ht="12.75" customHeight="1">
      <c r="A42" s="604" t="s">
        <v>754</v>
      </c>
      <c r="B42" s="241" t="s">
        <v>452</v>
      </c>
      <c r="C42" s="53">
        <f t="shared" si="0"/>
        <v>61676</v>
      </c>
      <c r="D42" s="39">
        <f>SUM(D43:D44)</f>
        <v>2664</v>
      </c>
      <c r="E42" s="39">
        <f aca="true" t="shared" si="15" ref="E42:W42">SUM(E43:E44)</f>
        <v>3458</v>
      </c>
      <c r="F42" s="39">
        <f t="shared" si="15"/>
        <v>4171</v>
      </c>
      <c r="G42" s="39">
        <f t="shared" si="15"/>
        <v>5342</v>
      </c>
      <c r="H42" s="39">
        <f t="shared" si="15"/>
        <v>5090</v>
      </c>
      <c r="I42" s="39">
        <f t="shared" si="15"/>
        <v>4542</v>
      </c>
      <c r="J42" s="39">
        <f t="shared" si="15"/>
        <v>4760</v>
      </c>
      <c r="K42" s="39">
        <f t="shared" si="15"/>
        <v>4530</v>
      </c>
      <c r="L42" s="39">
        <f t="shared" si="15"/>
        <v>4924</v>
      </c>
      <c r="M42" s="39">
        <f t="shared" si="15"/>
        <v>5361</v>
      </c>
      <c r="N42" s="39">
        <f t="shared" si="15"/>
        <v>4386</v>
      </c>
      <c r="O42" s="39">
        <f t="shared" si="15"/>
        <v>3316</v>
      </c>
      <c r="P42" s="39">
        <f t="shared" si="15"/>
        <v>2249</v>
      </c>
      <c r="Q42" s="39">
        <f t="shared" si="15"/>
        <v>1692</v>
      </c>
      <c r="R42" s="39">
        <f t="shared" si="15"/>
        <v>1874</v>
      </c>
      <c r="S42" s="39">
        <f t="shared" si="15"/>
        <v>1486</v>
      </c>
      <c r="T42" s="39">
        <f>SUM(T43:T44)</f>
        <v>1096</v>
      </c>
      <c r="U42" s="39">
        <f t="shared" si="15"/>
        <v>511</v>
      </c>
      <c r="V42" s="39">
        <f t="shared" si="15"/>
        <v>176</v>
      </c>
      <c r="W42" s="39">
        <f t="shared" si="15"/>
        <v>46</v>
      </c>
      <c r="X42" s="445">
        <v>2</v>
      </c>
      <c r="Y42" s="29"/>
    </row>
    <row r="43" spans="1:25" s="22" customFormat="1" ht="12.75" customHeight="1">
      <c r="A43" s="604"/>
      <c r="B43" s="241" t="s">
        <v>453</v>
      </c>
      <c r="C43" s="53">
        <f t="shared" si="0"/>
        <v>32468</v>
      </c>
      <c r="D43" s="39">
        <v>1397</v>
      </c>
      <c r="E43" s="39">
        <v>1780</v>
      </c>
      <c r="F43" s="39">
        <v>2193</v>
      </c>
      <c r="G43" s="39">
        <v>2834</v>
      </c>
      <c r="H43" s="39">
        <v>2635</v>
      </c>
      <c r="I43" s="39">
        <v>2333</v>
      </c>
      <c r="J43" s="39">
        <v>2340</v>
      </c>
      <c r="K43" s="39">
        <v>2319</v>
      </c>
      <c r="L43" s="39">
        <v>2667</v>
      </c>
      <c r="M43" s="39">
        <v>3009</v>
      </c>
      <c r="N43" s="39">
        <v>2532</v>
      </c>
      <c r="O43" s="39">
        <v>1881</v>
      </c>
      <c r="P43" s="39">
        <v>1272</v>
      </c>
      <c r="Q43" s="39">
        <v>842</v>
      </c>
      <c r="R43" s="39">
        <v>884</v>
      </c>
      <c r="S43" s="39">
        <v>702</v>
      </c>
      <c r="T43" s="39">
        <v>547</v>
      </c>
      <c r="U43" s="39">
        <v>223</v>
      </c>
      <c r="V43" s="39">
        <v>62</v>
      </c>
      <c r="W43" s="39">
        <v>16</v>
      </c>
      <c r="X43" s="444" t="s">
        <v>60</v>
      </c>
      <c r="Y43" s="29"/>
    </row>
    <row r="44" spans="1:25" s="22" customFormat="1" ht="12.75" customHeight="1">
      <c r="A44" s="604"/>
      <c r="B44" s="241" t="s">
        <v>454</v>
      </c>
      <c r="C44" s="53">
        <f t="shared" si="0"/>
        <v>29208</v>
      </c>
      <c r="D44" s="39">
        <v>1267</v>
      </c>
      <c r="E44" s="39">
        <v>1678</v>
      </c>
      <c r="F44" s="39">
        <v>1978</v>
      </c>
      <c r="G44" s="39">
        <v>2508</v>
      </c>
      <c r="H44" s="39">
        <v>2455</v>
      </c>
      <c r="I44" s="39">
        <v>2209</v>
      </c>
      <c r="J44" s="39">
        <v>2420</v>
      </c>
      <c r="K44" s="39">
        <v>2211</v>
      </c>
      <c r="L44" s="39">
        <v>2257</v>
      </c>
      <c r="M44" s="39">
        <v>2352</v>
      </c>
      <c r="N44" s="39">
        <v>1854</v>
      </c>
      <c r="O44" s="39">
        <v>1435</v>
      </c>
      <c r="P44" s="39">
        <v>977</v>
      </c>
      <c r="Q44" s="39">
        <v>850</v>
      </c>
      <c r="R44" s="39">
        <v>990</v>
      </c>
      <c r="S44" s="39">
        <v>784</v>
      </c>
      <c r="T44" s="39">
        <v>549</v>
      </c>
      <c r="U44" s="39">
        <v>288</v>
      </c>
      <c r="V44" s="39">
        <v>114</v>
      </c>
      <c r="W44" s="39">
        <v>30</v>
      </c>
      <c r="X44" s="445">
        <v>2</v>
      </c>
      <c r="Y44" s="29"/>
    </row>
    <row r="45" spans="1:25" s="22" customFormat="1" ht="12.75" customHeight="1">
      <c r="A45" s="604" t="s">
        <v>755</v>
      </c>
      <c r="B45" s="241" t="s">
        <v>452</v>
      </c>
      <c r="C45" s="53">
        <f t="shared" si="0"/>
        <v>10684</v>
      </c>
      <c r="D45" s="39">
        <f>SUM(D46:D47)</f>
        <v>699</v>
      </c>
      <c r="E45" s="39">
        <f aca="true" t="shared" si="16" ref="E45:W45">SUM(E46:E47)</f>
        <v>573</v>
      </c>
      <c r="F45" s="39">
        <f t="shared" si="16"/>
        <v>541</v>
      </c>
      <c r="G45" s="39">
        <f t="shared" si="16"/>
        <v>717</v>
      </c>
      <c r="H45" s="39">
        <f t="shared" si="16"/>
        <v>761</v>
      </c>
      <c r="I45" s="39">
        <f t="shared" si="16"/>
        <v>800</v>
      </c>
      <c r="J45" s="39">
        <f t="shared" si="16"/>
        <v>928</v>
      </c>
      <c r="K45" s="39">
        <f t="shared" si="16"/>
        <v>835</v>
      </c>
      <c r="L45" s="39">
        <f t="shared" si="16"/>
        <v>821</v>
      </c>
      <c r="M45" s="39">
        <f t="shared" si="16"/>
        <v>827</v>
      </c>
      <c r="N45" s="39">
        <f t="shared" si="16"/>
        <v>832</v>
      </c>
      <c r="O45" s="39">
        <f t="shared" si="16"/>
        <v>744</v>
      </c>
      <c r="P45" s="39">
        <f t="shared" si="16"/>
        <v>523</v>
      </c>
      <c r="Q45" s="39">
        <f t="shared" si="16"/>
        <v>322</v>
      </c>
      <c r="R45" s="39">
        <f t="shared" si="16"/>
        <v>294</v>
      </c>
      <c r="S45" s="39">
        <f t="shared" si="16"/>
        <v>238</v>
      </c>
      <c r="T45" s="39">
        <f t="shared" si="16"/>
        <v>140</v>
      </c>
      <c r="U45" s="39">
        <f t="shared" si="16"/>
        <v>66</v>
      </c>
      <c r="V45" s="39">
        <f t="shared" si="16"/>
        <v>19</v>
      </c>
      <c r="W45" s="39">
        <f t="shared" si="16"/>
        <v>4</v>
      </c>
      <c r="X45" s="444" t="s">
        <v>60</v>
      </c>
      <c r="Y45" s="29"/>
    </row>
    <row r="46" spans="1:24" s="29" customFormat="1" ht="12.75" customHeight="1">
      <c r="A46" s="604"/>
      <c r="B46" s="241" t="s">
        <v>453</v>
      </c>
      <c r="C46" s="53">
        <f t="shared" si="0"/>
        <v>5962</v>
      </c>
      <c r="D46" s="39">
        <v>377</v>
      </c>
      <c r="E46" s="39">
        <v>291</v>
      </c>
      <c r="F46" s="39">
        <v>288</v>
      </c>
      <c r="G46" s="39">
        <v>366</v>
      </c>
      <c r="H46" s="39">
        <v>404</v>
      </c>
      <c r="I46" s="39">
        <v>436</v>
      </c>
      <c r="J46" s="39">
        <v>531</v>
      </c>
      <c r="K46" s="39">
        <v>486</v>
      </c>
      <c r="L46" s="39">
        <v>515</v>
      </c>
      <c r="M46" s="39">
        <v>518</v>
      </c>
      <c r="N46" s="39">
        <v>488</v>
      </c>
      <c r="O46" s="39">
        <v>416</v>
      </c>
      <c r="P46" s="39">
        <v>280</v>
      </c>
      <c r="Q46" s="39">
        <v>176</v>
      </c>
      <c r="R46" s="39">
        <v>159</v>
      </c>
      <c r="S46" s="39">
        <v>123</v>
      </c>
      <c r="T46" s="39">
        <v>64</v>
      </c>
      <c r="U46" s="39">
        <v>35</v>
      </c>
      <c r="V46" s="39">
        <v>8</v>
      </c>
      <c r="W46" s="431">
        <v>1</v>
      </c>
      <c r="X46" s="444" t="s">
        <v>60</v>
      </c>
    </row>
    <row r="47" spans="1:24" s="22" customFormat="1" ht="12.75" customHeight="1" thickBot="1">
      <c r="A47" s="605"/>
      <c r="B47" s="533" t="s">
        <v>454</v>
      </c>
      <c r="C47" s="149">
        <f t="shared" si="0"/>
        <v>4722</v>
      </c>
      <c r="D47" s="433">
        <v>322</v>
      </c>
      <c r="E47" s="433">
        <v>282</v>
      </c>
      <c r="F47" s="433">
        <v>253</v>
      </c>
      <c r="G47" s="433">
        <v>351</v>
      </c>
      <c r="H47" s="433">
        <v>357</v>
      </c>
      <c r="I47" s="433">
        <v>364</v>
      </c>
      <c r="J47" s="433">
        <v>397</v>
      </c>
      <c r="K47" s="433">
        <v>349</v>
      </c>
      <c r="L47" s="433">
        <v>306</v>
      </c>
      <c r="M47" s="433">
        <v>309</v>
      </c>
      <c r="N47" s="433">
        <v>344</v>
      </c>
      <c r="O47" s="433">
        <v>328</v>
      </c>
      <c r="P47" s="433">
        <v>243</v>
      </c>
      <c r="Q47" s="433">
        <v>146</v>
      </c>
      <c r="R47" s="433">
        <v>135</v>
      </c>
      <c r="S47" s="433">
        <v>115</v>
      </c>
      <c r="T47" s="433">
        <v>76</v>
      </c>
      <c r="U47" s="433">
        <v>31</v>
      </c>
      <c r="V47" s="433">
        <v>11</v>
      </c>
      <c r="W47" s="433">
        <v>3</v>
      </c>
      <c r="X47" s="453" t="s">
        <v>60</v>
      </c>
    </row>
  </sheetData>
  <sheetProtection/>
  <mergeCells count="16">
    <mergeCell ref="A27:A29"/>
    <mergeCell ref="A30:A32"/>
    <mergeCell ref="A12:A14"/>
    <mergeCell ref="A15:A17"/>
    <mergeCell ref="A18:A20"/>
    <mergeCell ref="A24:A26"/>
    <mergeCell ref="A21:A23"/>
    <mergeCell ref="A2:K2"/>
    <mergeCell ref="L2:X2"/>
    <mergeCell ref="A6:A8"/>
    <mergeCell ref="A9:A11"/>
    <mergeCell ref="A45:A47"/>
    <mergeCell ref="A33:A35"/>
    <mergeCell ref="A36:A38"/>
    <mergeCell ref="A39:A41"/>
    <mergeCell ref="A42:A44"/>
  </mergeCells>
  <printOptions horizontalCentered="1"/>
  <pageMargins left="1.141732283464567" right="1.141732283464567" top="1.5748031496062993" bottom="1.5748031496062993" header="0.5118110236220472" footer="0.9055118110236221"/>
  <pageSetup firstPageNumber="3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120" zoomScaleNormal="120" workbookViewId="0" topLeftCell="A1">
      <selection activeCell="E7" sqref="E7"/>
    </sheetView>
  </sheetViews>
  <sheetFormatPr defaultColWidth="9.00390625" defaultRowHeight="21.75" customHeight="1"/>
  <cols>
    <col min="1" max="1" width="19.125" style="15" customWidth="1"/>
    <col min="2" max="2" width="8.125" style="13" customWidth="1"/>
    <col min="3" max="3" width="8.625" style="13" customWidth="1"/>
    <col min="4" max="4" width="10.125" style="13" customWidth="1"/>
    <col min="5" max="6" width="10.375" style="13" customWidth="1"/>
    <col min="7" max="7" width="8.125" style="13" customWidth="1"/>
    <col min="8" max="16384" width="10.625" style="7" customWidth="1"/>
  </cols>
  <sheetData>
    <row r="1" spans="2:7" s="15" customFormat="1" ht="18" customHeight="1">
      <c r="B1" s="16"/>
      <c r="C1" s="16"/>
      <c r="D1" s="16"/>
      <c r="E1" s="16"/>
      <c r="F1" s="16"/>
      <c r="G1" s="75" t="s">
        <v>142</v>
      </c>
    </row>
    <row r="2" spans="1:7" ht="31.5" customHeight="1">
      <c r="A2" s="607" t="s">
        <v>796</v>
      </c>
      <c r="B2" s="603"/>
      <c r="C2" s="603"/>
      <c r="D2" s="603"/>
      <c r="E2" s="603"/>
      <c r="F2" s="603"/>
      <c r="G2" s="603"/>
    </row>
    <row r="3" spans="1:7" ht="24.75" customHeight="1" thickBot="1">
      <c r="A3" s="1"/>
      <c r="B3" s="4"/>
      <c r="C3" s="4"/>
      <c r="D3" s="4"/>
      <c r="E3" s="4"/>
      <c r="F3" s="608" t="s">
        <v>419</v>
      </c>
      <c r="G3" s="609"/>
    </row>
    <row r="4" spans="1:7" ht="19.5" customHeight="1">
      <c r="A4" s="610" t="s">
        <v>420</v>
      </c>
      <c r="B4" s="569" t="s">
        <v>421</v>
      </c>
      <c r="C4" s="585"/>
      <c r="D4" s="586"/>
      <c r="E4" s="566" t="s">
        <v>438</v>
      </c>
      <c r="F4" s="566" t="s">
        <v>439</v>
      </c>
      <c r="G4" s="559" t="s">
        <v>422</v>
      </c>
    </row>
    <row r="5" spans="1:7" ht="39.75" customHeight="1" thickBot="1">
      <c r="A5" s="611"/>
      <c r="B5" s="31" t="s">
        <v>423</v>
      </c>
      <c r="C5" s="31" t="s">
        <v>424</v>
      </c>
      <c r="D5" s="31" t="s">
        <v>440</v>
      </c>
      <c r="E5" s="612"/>
      <c r="F5" s="612"/>
      <c r="G5" s="613"/>
    </row>
    <row r="6" spans="1:7" ht="18" customHeight="1">
      <c r="A6" s="181" t="s">
        <v>425</v>
      </c>
      <c r="B6" s="420">
        <v>419807</v>
      </c>
      <c r="C6" s="422">
        <v>1238135</v>
      </c>
      <c r="D6" s="411">
        <v>134661</v>
      </c>
      <c r="E6" s="436">
        <f aca="true" t="shared" si="0" ref="E6:E28">D6/C6*100</f>
        <v>10.876116093963905</v>
      </c>
      <c r="F6" s="436">
        <f aca="true" t="shared" si="1" ref="F6:F28">B6/C6*100</f>
        <v>33.906399544476166</v>
      </c>
      <c r="G6" s="436">
        <f aca="true" t="shared" si="2" ref="G6:G28">(B6+D6)/C6*100</f>
        <v>44.782515638440074</v>
      </c>
    </row>
    <row r="7" spans="1:7" ht="18" customHeight="1">
      <c r="A7" s="181" t="s">
        <v>426</v>
      </c>
      <c r="B7" s="423">
        <v>415934</v>
      </c>
      <c r="C7" s="425">
        <v>1268339</v>
      </c>
      <c r="D7" s="39">
        <v>137802</v>
      </c>
      <c r="E7" s="441">
        <f t="shared" si="0"/>
        <v>10.864760919596417</v>
      </c>
      <c r="F7" s="441">
        <f t="shared" si="1"/>
        <v>32.79359855685271</v>
      </c>
      <c r="G7" s="441">
        <f t="shared" si="2"/>
        <v>43.65835947644912</v>
      </c>
    </row>
    <row r="8" spans="1:7" ht="18" customHeight="1">
      <c r="A8" s="182" t="s">
        <v>427</v>
      </c>
      <c r="B8" s="423">
        <v>413397</v>
      </c>
      <c r="C8" s="39">
        <v>1298465</v>
      </c>
      <c r="D8" s="39">
        <v>141167</v>
      </c>
      <c r="E8" s="441">
        <f t="shared" si="0"/>
        <v>10.871837130765943</v>
      </c>
      <c r="F8" s="441">
        <f t="shared" si="1"/>
        <v>31.83736180798096</v>
      </c>
      <c r="G8" s="441">
        <f t="shared" si="2"/>
        <v>42.70919893874691</v>
      </c>
    </row>
    <row r="9" spans="1:7" ht="18" customHeight="1">
      <c r="A9" s="182" t="s">
        <v>428</v>
      </c>
      <c r="B9" s="423">
        <v>406910</v>
      </c>
      <c r="C9" s="39">
        <v>1328155</v>
      </c>
      <c r="D9" s="39">
        <v>145251</v>
      </c>
      <c r="E9" s="441">
        <f t="shared" si="0"/>
        <v>10.936298850661256</v>
      </c>
      <c r="F9" s="441">
        <f t="shared" si="1"/>
        <v>30.637237370638214</v>
      </c>
      <c r="G9" s="441">
        <f t="shared" si="2"/>
        <v>41.57353622129947</v>
      </c>
    </row>
    <row r="10" spans="1:7" ht="18" customHeight="1">
      <c r="A10" s="182" t="s">
        <v>429</v>
      </c>
      <c r="B10" s="423">
        <v>401456</v>
      </c>
      <c r="C10" s="39">
        <v>1359807</v>
      </c>
      <c r="D10" s="39">
        <v>149898</v>
      </c>
      <c r="E10" s="441">
        <f t="shared" si="0"/>
        <v>11.023476125656067</v>
      </c>
      <c r="F10" s="441">
        <f t="shared" si="1"/>
        <v>29.523013192313318</v>
      </c>
      <c r="G10" s="441">
        <f t="shared" si="2"/>
        <v>40.54648931796939</v>
      </c>
    </row>
    <row r="11" spans="1:7" ht="18" customHeight="1">
      <c r="A11" s="183" t="s">
        <v>430</v>
      </c>
      <c r="B11" s="423">
        <v>394093</v>
      </c>
      <c r="C11" s="39">
        <v>1387612</v>
      </c>
      <c r="D11" s="39">
        <v>153263</v>
      </c>
      <c r="E11" s="441">
        <f t="shared" si="0"/>
        <v>11.045090414323312</v>
      </c>
      <c r="F11" s="441">
        <f t="shared" si="1"/>
        <v>28.40080656552408</v>
      </c>
      <c r="G11" s="441">
        <f t="shared" si="2"/>
        <v>39.4458969798474</v>
      </c>
    </row>
    <row r="12" spans="1:7" ht="18" customHeight="1">
      <c r="A12" s="183" t="s">
        <v>431</v>
      </c>
      <c r="B12" s="423">
        <v>386146</v>
      </c>
      <c r="C12" s="39">
        <v>1414937</v>
      </c>
      <c r="D12" s="39">
        <v>157603</v>
      </c>
      <c r="E12" s="441">
        <f t="shared" si="0"/>
        <v>11.138517121256989</v>
      </c>
      <c r="F12" s="441">
        <f t="shared" si="1"/>
        <v>27.290685026965868</v>
      </c>
      <c r="G12" s="441">
        <f t="shared" si="2"/>
        <v>38.42920214822285</v>
      </c>
    </row>
    <row r="13" spans="1:8" ht="18" customHeight="1">
      <c r="A13" s="221" t="s">
        <v>436</v>
      </c>
      <c r="B13" s="423">
        <v>375565</v>
      </c>
      <c r="C13" s="39">
        <v>1441272</v>
      </c>
      <c r="D13" s="39">
        <v>161945</v>
      </c>
      <c r="E13" s="441">
        <f t="shared" si="0"/>
        <v>11.236255196798384</v>
      </c>
      <c r="F13" s="441">
        <f t="shared" si="1"/>
        <v>26.057884979379324</v>
      </c>
      <c r="G13" s="441">
        <f t="shared" si="2"/>
        <v>37.294140176177706</v>
      </c>
      <c r="H13" s="112"/>
    </row>
    <row r="14" spans="1:7" s="32" customFormat="1" ht="18" customHeight="1">
      <c r="A14" s="183" t="s">
        <v>432</v>
      </c>
      <c r="B14" s="423">
        <v>363341</v>
      </c>
      <c r="C14" s="39">
        <v>1473703</v>
      </c>
      <c r="D14" s="39">
        <v>165016</v>
      </c>
      <c r="E14" s="441">
        <f t="shared" si="0"/>
        <v>11.197371519227415</v>
      </c>
      <c r="F14" s="441">
        <f t="shared" si="1"/>
        <v>24.654967792017796</v>
      </c>
      <c r="G14" s="441">
        <f t="shared" si="2"/>
        <v>35.85233931124521</v>
      </c>
    </row>
    <row r="15" spans="1:7" s="32" customFormat="1" ht="18" customHeight="1">
      <c r="A15" s="183" t="s">
        <v>437</v>
      </c>
      <c r="B15" s="454">
        <f>SUM(B16:B28)</f>
        <v>350658</v>
      </c>
      <c r="C15" s="455">
        <f>SUM(C16:C28)</f>
        <v>1494077</v>
      </c>
      <c r="D15" s="455">
        <f>SUM(D16:D28)</f>
        <v>168570</v>
      </c>
      <c r="E15" s="441">
        <f t="shared" si="0"/>
        <v>11.282551033179681</v>
      </c>
      <c r="F15" s="441">
        <f t="shared" si="1"/>
        <v>23.469874711945906</v>
      </c>
      <c r="G15" s="441">
        <f t="shared" si="2"/>
        <v>34.752425745125585</v>
      </c>
    </row>
    <row r="16" spans="1:10" s="32" customFormat="1" ht="18" customHeight="1">
      <c r="A16" s="184" t="s">
        <v>185</v>
      </c>
      <c r="B16" s="454">
        <v>75867</v>
      </c>
      <c r="C16" s="455">
        <v>304596</v>
      </c>
      <c r="D16" s="455">
        <v>29650</v>
      </c>
      <c r="E16" s="441">
        <f t="shared" si="0"/>
        <v>9.73420530801455</v>
      </c>
      <c r="F16" s="441">
        <f t="shared" si="1"/>
        <v>24.907418350864752</v>
      </c>
      <c r="G16" s="441">
        <f t="shared" si="2"/>
        <v>34.6416236588793</v>
      </c>
      <c r="H16" s="154"/>
      <c r="I16" s="154"/>
      <c r="J16" s="154"/>
    </row>
    <row r="17" spans="1:7" s="32" customFormat="1" ht="18" customHeight="1">
      <c r="A17" s="184" t="s">
        <v>186</v>
      </c>
      <c r="B17" s="454">
        <v>63361</v>
      </c>
      <c r="C17" s="455">
        <v>276672</v>
      </c>
      <c r="D17" s="455">
        <v>32396</v>
      </c>
      <c r="E17" s="441">
        <f t="shared" si="0"/>
        <v>11.709171871385612</v>
      </c>
      <c r="F17" s="441">
        <f t="shared" si="1"/>
        <v>22.901124797594264</v>
      </c>
      <c r="G17" s="441">
        <f t="shared" si="2"/>
        <v>34.61029666897987</v>
      </c>
    </row>
    <row r="18" spans="1:7" s="32" customFormat="1" ht="18" customHeight="1">
      <c r="A18" s="184" t="s">
        <v>187</v>
      </c>
      <c r="B18" s="454">
        <v>36096</v>
      </c>
      <c r="C18" s="455">
        <v>156692</v>
      </c>
      <c r="D18" s="455">
        <v>15773</v>
      </c>
      <c r="E18" s="441">
        <f t="shared" si="0"/>
        <v>10.066244607254998</v>
      </c>
      <c r="F18" s="441">
        <f t="shared" si="1"/>
        <v>23.036274985321523</v>
      </c>
      <c r="G18" s="441">
        <f t="shared" si="2"/>
        <v>33.10251959257652</v>
      </c>
    </row>
    <row r="19" spans="1:7" s="32" customFormat="1" ht="18" customHeight="1">
      <c r="A19" s="184" t="s">
        <v>188</v>
      </c>
      <c r="B19" s="454">
        <v>28160</v>
      </c>
      <c r="C19" s="455">
        <v>134737</v>
      </c>
      <c r="D19" s="455">
        <v>14538</v>
      </c>
      <c r="E19" s="441">
        <f t="shared" si="0"/>
        <v>10.78990923057512</v>
      </c>
      <c r="F19" s="441">
        <f t="shared" si="1"/>
        <v>20.8999755078412</v>
      </c>
      <c r="G19" s="441">
        <f t="shared" si="2"/>
        <v>31.689884738416325</v>
      </c>
    </row>
    <row r="20" spans="1:7" ht="18" customHeight="1">
      <c r="A20" s="184" t="s">
        <v>189</v>
      </c>
      <c r="B20" s="454">
        <v>27358</v>
      </c>
      <c r="C20" s="455">
        <v>112155</v>
      </c>
      <c r="D20" s="455">
        <v>12928</v>
      </c>
      <c r="E20" s="441">
        <f t="shared" si="0"/>
        <v>11.526904730061077</v>
      </c>
      <c r="F20" s="441">
        <f t="shared" si="1"/>
        <v>24.39302750657572</v>
      </c>
      <c r="G20" s="441">
        <f t="shared" si="2"/>
        <v>35.9199322366368</v>
      </c>
    </row>
    <row r="21" spans="1:7" s="32" customFormat="1" ht="18" customHeight="1">
      <c r="A21" s="184" t="s">
        <v>190</v>
      </c>
      <c r="B21" s="454">
        <v>15274</v>
      </c>
      <c r="C21" s="455">
        <v>66789</v>
      </c>
      <c r="D21" s="455">
        <v>9916</v>
      </c>
      <c r="E21" s="441">
        <f t="shared" si="0"/>
        <v>14.846756202368653</v>
      </c>
      <c r="F21" s="441">
        <f t="shared" si="1"/>
        <v>22.869035320187457</v>
      </c>
      <c r="G21" s="441">
        <f t="shared" si="2"/>
        <v>37.71579152255611</v>
      </c>
    </row>
    <row r="22" spans="1:7" s="32" customFormat="1" ht="18" customHeight="1">
      <c r="A22" s="184" t="s">
        <v>191</v>
      </c>
      <c r="B22" s="454">
        <v>29769</v>
      </c>
      <c r="C22" s="455">
        <v>104989</v>
      </c>
      <c r="D22" s="455">
        <v>9128</v>
      </c>
      <c r="E22" s="441">
        <f t="shared" si="0"/>
        <v>8.694244158911886</v>
      </c>
      <c r="F22" s="441">
        <f t="shared" si="1"/>
        <v>28.35439903227957</v>
      </c>
      <c r="G22" s="441">
        <f t="shared" si="2"/>
        <v>37.04864319119146</v>
      </c>
    </row>
    <row r="23" spans="1:7" s="32" customFormat="1" ht="18" customHeight="1">
      <c r="A23" s="184" t="s">
        <v>192</v>
      </c>
      <c r="B23" s="454">
        <v>14302</v>
      </c>
      <c r="C23" s="455">
        <v>60385</v>
      </c>
      <c r="D23" s="455">
        <v>7449</v>
      </c>
      <c r="E23" s="441">
        <f t="shared" si="0"/>
        <v>12.335844994617869</v>
      </c>
      <c r="F23" s="441">
        <f t="shared" si="1"/>
        <v>23.684689906433718</v>
      </c>
      <c r="G23" s="441">
        <f t="shared" si="2"/>
        <v>36.02053490105159</v>
      </c>
    </row>
    <row r="24" spans="1:7" s="32" customFormat="1" ht="18" customHeight="1">
      <c r="A24" s="184" t="s">
        <v>193</v>
      </c>
      <c r="B24" s="454">
        <v>22360</v>
      </c>
      <c r="C24" s="455">
        <v>104709</v>
      </c>
      <c r="D24" s="455">
        <v>11286</v>
      </c>
      <c r="E24" s="441">
        <f t="shared" si="0"/>
        <v>10.778443113772456</v>
      </c>
      <c r="F24" s="441">
        <f t="shared" si="1"/>
        <v>21.35442034591105</v>
      </c>
      <c r="G24" s="441">
        <f t="shared" si="2"/>
        <v>32.132863459683506</v>
      </c>
    </row>
    <row r="25" spans="1:7" s="32" customFormat="1" ht="18" customHeight="1">
      <c r="A25" s="184" t="s">
        <v>194</v>
      </c>
      <c r="B25" s="454">
        <v>18740</v>
      </c>
      <c r="C25" s="455">
        <v>85751</v>
      </c>
      <c r="D25" s="455">
        <v>10467</v>
      </c>
      <c r="E25" s="441">
        <f t="shared" si="0"/>
        <v>12.206271646977877</v>
      </c>
      <c r="F25" s="441">
        <f t="shared" si="1"/>
        <v>21.85397254842509</v>
      </c>
      <c r="G25" s="441">
        <f t="shared" si="2"/>
        <v>34.060244195402966</v>
      </c>
    </row>
    <row r="26" spans="1:7" s="32" customFormat="1" ht="18" customHeight="1">
      <c r="A26" s="184" t="s">
        <v>195</v>
      </c>
      <c r="B26" s="454">
        <v>7265</v>
      </c>
      <c r="C26" s="455">
        <v>34314</v>
      </c>
      <c r="D26" s="455">
        <v>7073</v>
      </c>
      <c r="E26" s="441">
        <f t="shared" si="0"/>
        <v>20.612577956519203</v>
      </c>
      <c r="F26" s="441">
        <f t="shared" si="1"/>
        <v>21.172116337355014</v>
      </c>
      <c r="G26" s="441">
        <f t="shared" si="2"/>
        <v>41.78469429387422</v>
      </c>
    </row>
    <row r="27" spans="1:7" s="32" customFormat="1" ht="18" customHeight="1">
      <c r="A27" s="184" t="s">
        <v>196</v>
      </c>
      <c r="B27" s="454">
        <v>10293</v>
      </c>
      <c r="C27" s="455">
        <v>44500</v>
      </c>
      <c r="D27" s="455">
        <v>6883</v>
      </c>
      <c r="E27" s="441">
        <f t="shared" si="0"/>
        <v>15.467415730337079</v>
      </c>
      <c r="F27" s="441">
        <f t="shared" si="1"/>
        <v>23.130337078651685</v>
      </c>
      <c r="G27" s="441">
        <f t="shared" si="2"/>
        <v>38.597752808988766</v>
      </c>
    </row>
    <row r="28" spans="1:7" s="32" customFormat="1" ht="18" customHeight="1" thickBot="1">
      <c r="A28" s="185" t="s">
        <v>197</v>
      </c>
      <c r="B28" s="456">
        <v>1813</v>
      </c>
      <c r="C28" s="457">
        <v>7788</v>
      </c>
      <c r="D28" s="457">
        <v>1083</v>
      </c>
      <c r="E28" s="458">
        <f t="shared" si="0"/>
        <v>13.906009244992296</v>
      </c>
      <c r="F28" s="458">
        <f t="shared" si="1"/>
        <v>23.279404211607602</v>
      </c>
      <c r="G28" s="458">
        <f t="shared" si="2"/>
        <v>37.185413456599896</v>
      </c>
    </row>
    <row r="29" spans="1:7" s="198" customFormat="1" ht="12.75" customHeight="1">
      <c r="A29" s="196" t="s">
        <v>433</v>
      </c>
      <c r="B29" s="197"/>
      <c r="C29" s="197"/>
      <c r="D29" s="197"/>
      <c r="E29" s="197"/>
      <c r="F29" s="197"/>
      <c r="G29" s="197"/>
    </row>
    <row r="30" spans="1:7" s="198" customFormat="1" ht="12.75" customHeight="1">
      <c r="A30" s="196" t="s">
        <v>434</v>
      </c>
      <c r="B30" s="197"/>
      <c r="C30" s="197"/>
      <c r="D30" s="197"/>
      <c r="E30" s="197"/>
      <c r="F30" s="197"/>
      <c r="G30" s="197"/>
    </row>
    <row r="31" spans="1:7" s="198" customFormat="1" ht="12.75" customHeight="1">
      <c r="A31" s="196" t="s">
        <v>435</v>
      </c>
      <c r="B31" s="197"/>
      <c r="C31" s="197"/>
      <c r="D31" s="197"/>
      <c r="E31" s="197"/>
      <c r="F31" s="197"/>
      <c r="G31" s="197"/>
    </row>
    <row r="32" spans="1:7" s="198" customFormat="1" ht="12.75" customHeight="1">
      <c r="A32" s="199" t="s">
        <v>418</v>
      </c>
      <c r="B32" s="197"/>
      <c r="C32" s="197"/>
      <c r="D32" s="197"/>
      <c r="E32" s="197"/>
      <c r="F32" s="197"/>
      <c r="G32" s="197"/>
    </row>
    <row r="33" spans="1:7" s="198" customFormat="1" ht="12.75" customHeight="1">
      <c r="A33" s="199" t="s">
        <v>756</v>
      </c>
      <c r="B33" s="197"/>
      <c r="C33" s="197"/>
      <c r="D33" s="197"/>
      <c r="E33" s="197"/>
      <c r="F33" s="197"/>
      <c r="G33" s="197"/>
    </row>
    <row r="34" spans="1:7" s="198" customFormat="1" ht="12.75" customHeight="1">
      <c r="A34" s="199" t="s">
        <v>757</v>
      </c>
      <c r="B34" s="197"/>
      <c r="C34" s="197"/>
      <c r="D34" s="197"/>
      <c r="E34" s="197"/>
      <c r="F34" s="197"/>
      <c r="G34" s="197"/>
    </row>
    <row r="35" spans="1:7" s="198" customFormat="1" ht="12.75" customHeight="1">
      <c r="A35" s="199" t="s">
        <v>758</v>
      </c>
      <c r="B35" s="197"/>
      <c r="C35" s="197"/>
      <c r="D35" s="197"/>
      <c r="E35" s="197"/>
      <c r="F35" s="197"/>
      <c r="G35" s="197"/>
    </row>
  </sheetData>
  <mergeCells count="7">
    <mergeCell ref="A2:G2"/>
    <mergeCell ref="F3:G3"/>
    <mergeCell ref="A4:A5"/>
    <mergeCell ref="B4:D4"/>
    <mergeCell ref="E4:E5"/>
    <mergeCell ref="F4:F5"/>
    <mergeCell ref="G4:G5"/>
  </mergeCells>
  <printOptions horizontalCentered="1"/>
  <pageMargins left="1.1811023622047245" right="1.1811023622047245" top="1.5748031496062993" bottom="1.535433070866142" header="0.5118110236220472" footer="0.9055118110236221"/>
  <pageSetup firstPageNumber="39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showGridLines="0" zoomScale="120" zoomScaleNormal="120" workbookViewId="0" topLeftCell="A1">
      <selection activeCell="B22" sqref="B22"/>
    </sheetView>
  </sheetViews>
  <sheetFormatPr defaultColWidth="10.625" defaultRowHeight="21.75" customHeight="1"/>
  <cols>
    <col min="1" max="1" width="9.125" style="224" customWidth="1"/>
    <col min="2" max="2" width="5.625" style="224" customWidth="1"/>
    <col min="3" max="4" width="6.875" style="234" customWidth="1"/>
    <col min="5" max="5" width="5.875" style="234" customWidth="1"/>
    <col min="6" max="6" width="5.375" style="234" customWidth="1"/>
    <col min="7" max="7" width="5.75390625" style="234" customWidth="1"/>
    <col min="8" max="8" width="5.625" style="234" customWidth="1"/>
    <col min="9" max="9" width="6.125" style="234" customWidth="1"/>
    <col min="10" max="12" width="5.875" style="234" customWidth="1"/>
    <col min="13" max="13" width="7.125" style="224" customWidth="1"/>
    <col min="14" max="14" width="5.75390625" style="234" customWidth="1"/>
    <col min="15" max="15" width="5.625" style="234" customWidth="1"/>
    <col min="16" max="16" width="5.75390625" style="234" customWidth="1"/>
    <col min="17" max="17" width="5.625" style="234" customWidth="1"/>
    <col min="18" max="18" width="5.75390625" style="234" customWidth="1"/>
    <col min="19" max="19" width="5.625" style="234" customWidth="1"/>
    <col min="20" max="20" width="5.75390625" style="234" customWidth="1"/>
    <col min="21" max="21" width="5.625" style="234" customWidth="1"/>
    <col min="22" max="22" width="5.75390625" style="234" customWidth="1"/>
    <col min="23" max="23" width="5.625" style="234" customWidth="1"/>
    <col min="24" max="24" width="5.625" style="147" customWidth="1"/>
    <col min="25" max="25" width="5.375" style="147" customWidth="1"/>
    <col min="26" max="26" width="10.625" style="147" customWidth="1"/>
    <col min="27" max="27" width="5.875" style="147" customWidth="1"/>
    <col min="28" max="16384" width="10.625" style="147" customWidth="1"/>
  </cols>
  <sheetData>
    <row r="1" spans="1:25" s="224" customFormat="1" ht="18" customHeight="1">
      <c r="A1" s="235" t="s">
        <v>131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2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144" t="s">
        <v>142</v>
      </c>
    </row>
    <row r="2" spans="1:25" s="225" customFormat="1" ht="24.75" customHeight="1">
      <c r="A2" s="631" t="s">
        <v>759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3" t="s">
        <v>442</v>
      </c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</row>
    <row r="3" spans="1:25" ht="15.75" customHeight="1" thickBot="1">
      <c r="A3" s="145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236" t="s">
        <v>132</v>
      </c>
      <c r="M3" s="145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237" t="s">
        <v>257</v>
      </c>
    </row>
    <row r="4" spans="1:25" ht="15" customHeight="1">
      <c r="A4" s="242"/>
      <c r="B4" s="243"/>
      <c r="C4" s="244"/>
      <c r="D4" s="634" t="s">
        <v>455</v>
      </c>
      <c r="E4" s="635"/>
      <c r="F4" s="635"/>
      <c r="G4" s="635"/>
      <c r="H4" s="635"/>
      <c r="I4" s="635"/>
      <c r="J4" s="635"/>
      <c r="K4" s="635"/>
      <c r="L4" s="635"/>
      <c r="M4" s="245"/>
      <c r="N4" s="246"/>
      <c r="O4" s="247"/>
      <c r="P4" s="248"/>
      <c r="Q4" s="248"/>
      <c r="R4" s="617" t="s">
        <v>456</v>
      </c>
      <c r="S4" s="617"/>
      <c r="T4" s="248"/>
      <c r="U4" s="249"/>
      <c r="V4" s="249"/>
      <c r="W4" s="248"/>
      <c r="X4" s="250"/>
      <c r="Y4" s="638" t="s">
        <v>457</v>
      </c>
    </row>
    <row r="5" spans="1:25" ht="15" customHeight="1">
      <c r="A5" s="636" t="s">
        <v>458</v>
      </c>
      <c r="B5" s="626" t="s">
        <v>459</v>
      </c>
      <c r="C5" s="628" t="s">
        <v>460</v>
      </c>
      <c r="D5" s="630" t="s">
        <v>461</v>
      </c>
      <c r="E5" s="622" t="s">
        <v>462</v>
      </c>
      <c r="F5" s="623"/>
      <c r="G5" s="622" t="s">
        <v>463</v>
      </c>
      <c r="H5" s="642"/>
      <c r="I5" s="249"/>
      <c r="J5" s="251" t="s">
        <v>464</v>
      </c>
      <c r="K5" s="249"/>
      <c r="L5" s="252" t="s">
        <v>465</v>
      </c>
      <c r="M5" s="253"/>
      <c r="N5" s="622" t="s">
        <v>466</v>
      </c>
      <c r="O5" s="623"/>
      <c r="P5" s="622" t="s">
        <v>467</v>
      </c>
      <c r="Q5" s="623"/>
      <c r="R5" s="622" t="s">
        <v>468</v>
      </c>
      <c r="S5" s="623"/>
      <c r="T5" s="622" t="s">
        <v>469</v>
      </c>
      <c r="U5" s="623"/>
      <c r="V5" s="622" t="s">
        <v>477</v>
      </c>
      <c r="W5" s="623"/>
      <c r="X5" s="639" t="s">
        <v>470</v>
      </c>
      <c r="Y5" s="629"/>
    </row>
    <row r="6" spans="1:25" ht="24.75" customHeight="1">
      <c r="A6" s="637"/>
      <c r="B6" s="627"/>
      <c r="C6" s="629"/>
      <c r="D6" s="629"/>
      <c r="E6" s="624"/>
      <c r="F6" s="625"/>
      <c r="G6" s="643"/>
      <c r="H6" s="644"/>
      <c r="I6" s="620" t="s">
        <v>471</v>
      </c>
      <c r="J6" s="621"/>
      <c r="K6" s="255" t="s">
        <v>472</v>
      </c>
      <c r="L6" s="249"/>
      <c r="M6" s="256" t="s">
        <v>125</v>
      </c>
      <c r="N6" s="624"/>
      <c r="O6" s="625"/>
      <c r="P6" s="624"/>
      <c r="Q6" s="625"/>
      <c r="R6" s="624"/>
      <c r="S6" s="625"/>
      <c r="T6" s="624"/>
      <c r="U6" s="625"/>
      <c r="V6" s="624"/>
      <c r="W6" s="625"/>
      <c r="X6" s="640"/>
      <c r="Y6" s="629"/>
    </row>
    <row r="7" spans="1:25" ht="24.75" customHeight="1">
      <c r="A7" s="637" t="s">
        <v>473</v>
      </c>
      <c r="B7" s="649" t="s">
        <v>474</v>
      </c>
      <c r="C7" s="647" t="s">
        <v>207</v>
      </c>
      <c r="D7" s="254"/>
      <c r="E7" s="618" t="s">
        <v>128</v>
      </c>
      <c r="F7" s="618" t="s">
        <v>166</v>
      </c>
      <c r="G7" s="618" t="s">
        <v>128</v>
      </c>
      <c r="H7" s="618" t="s">
        <v>166</v>
      </c>
      <c r="I7" s="618" t="s">
        <v>128</v>
      </c>
      <c r="J7" s="618" t="s">
        <v>166</v>
      </c>
      <c r="K7" s="620" t="s">
        <v>778</v>
      </c>
      <c r="L7" s="621"/>
      <c r="M7" s="258" t="s">
        <v>575</v>
      </c>
      <c r="N7" s="618" t="s">
        <v>128</v>
      </c>
      <c r="O7" s="618" t="s">
        <v>166</v>
      </c>
      <c r="P7" s="618" t="s">
        <v>128</v>
      </c>
      <c r="Q7" s="618" t="s">
        <v>166</v>
      </c>
      <c r="R7" s="618" t="s">
        <v>128</v>
      </c>
      <c r="S7" s="618" t="s">
        <v>166</v>
      </c>
      <c r="T7" s="618" t="s">
        <v>128</v>
      </c>
      <c r="U7" s="618" t="s">
        <v>166</v>
      </c>
      <c r="V7" s="618" t="s">
        <v>128</v>
      </c>
      <c r="W7" s="618" t="s">
        <v>166</v>
      </c>
      <c r="X7" s="641"/>
      <c r="Y7" s="629"/>
    </row>
    <row r="8" spans="1:25" ht="15" customHeight="1">
      <c r="A8" s="637"/>
      <c r="B8" s="649"/>
      <c r="C8" s="647"/>
      <c r="D8" s="254"/>
      <c r="E8" s="629"/>
      <c r="F8" s="629"/>
      <c r="G8" s="629"/>
      <c r="H8" s="629"/>
      <c r="I8" s="629"/>
      <c r="J8" s="629"/>
      <c r="K8" s="257" t="s">
        <v>128</v>
      </c>
      <c r="L8" s="257" t="s">
        <v>166</v>
      </c>
      <c r="M8" s="259" t="s">
        <v>166</v>
      </c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45" t="s">
        <v>441</v>
      </c>
      <c r="Y8" s="536"/>
    </row>
    <row r="9" spans="1:25" s="110" customFormat="1" ht="15" customHeight="1" thickBot="1">
      <c r="A9" s="240"/>
      <c r="B9" s="650"/>
      <c r="C9" s="648"/>
      <c r="D9" s="261" t="s">
        <v>208</v>
      </c>
      <c r="E9" s="262" t="s">
        <v>124</v>
      </c>
      <c r="F9" s="262" t="s">
        <v>209</v>
      </c>
      <c r="G9" s="262" t="s">
        <v>124</v>
      </c>
      <c r="H9" s="262" t="s">
        <v>209</v>
      </c>
      <c r="I9" s="262" t="s">
        <v>124</v>
      </c>
      <c r="J9" s="262" t="s">
        <v>209</v>
      </c>
      <c r="K9" s="263" t="s">
        <v>124</v>
      </c>
      <c r="L9" s="262" t="s">
        <v>209</v>
      </c>
      <c r="M9" s="262" t="s">
        <v>209</v>
      </c>
      <c r="N9" s="262" t="s">
        <v>124</v>
      </c>
      <c r="O9" s="262" t="s">
        <v>209</v>
      </c>
      <c r="P9" s="262" t="s">
        <v>124</v>
      </c>
      <c r="Q9" s="262" t="s">
        <v>209</v>
      </c>
      <c r="R9" s="262" t="s">
        <v>124</v>
      </c>
      <c r="S9" s="262" t="s">
        <v>209</v>
      </c>
      <c r="T9" s="262" t="s">
        <v>124</v>
      </c>
      <c r="U9" s="262" t="s">
        <v>209</v>
      </c>
      <c r="V9" s="262" t="s">
        <v>124</v>
      </c>
      <c r="W9" s="262" t="s">
        <v>209</v>
      </c>
      <c r="X9" s="646"/>
      <c r="Y9" s="537" t="s">
        <v>126</v>
      </c>
    </row>
    <row r="10" spans="1:25" ht="16.5" customHeight="1">
      <c r="A10" s="614" t="s">
        <v>443</v>
      </c>
      <c r="B10" s="241" t="s">
        <v>452</v>
      </c>
      <c r="C10" s="238">
        <f>D10+Y10</f>
        <v>1372796</v>
      </c>
      <c r="D10" s="459">
        <f aca="true" t="shared" si="0" ref="D10:D36">SUM(E10:X10)</f>
        <v>1323861</v>
      </c>
      <c r="E10" s="459">
        <v>15820</v>
      </c>
      <c r="F10" s="459">
        <v>6323</v>
      </c>
      <c r="G10" s="459">
        <v>91587</v>
      </c>
      <c r="H10" s="459">
        <v>53795</v>
      </c>
      <c r="I10" s="459">
        <v>89319</v>
      </c>
      <c r="J10" s="459">
        <v>25350</v>
      </c>
      <c r="K10" s="459">
        <v>45383</v>
      </c>
      <c r="L10" s="459">
        <v>8066</v>
      </c>
      <c r="M10" s="459">
        <v>6605</v>
      </c>
      <c r="N10" s="459">
        <v>72925</v>
      </c>
      <c r="O10" s="459">
        <v>48472</v>
      </c>
      <c r="P10" s="459">
        <v>254687</v>
      </c>
      <c r="Q10" s="459">
        <v>88289</v>
      </c>
      <c r="R10" s="459">
        <v>177237</v>
      </c>
      <c r="S10" s="459">
        <v>75182</v>
      </c>
      <c r="T10" s="459">
        <v>3355</v>
      </c>
      <c r="U10" s="459">
        <v>1186</v>
      </c>
      <c r="V10" s="459">
        <v>193218</v>
      </c>
      <c r="W10" s="459">
        <v>57749</v>
      </c>
      <c r="X10" s="459">
        <v>9313</v>
      </c>
      <c r="Y10" s="459">
        <v>48935</v>
      </c>
    </row>
    <row r="11" spans="1:25" ht="16.5" customHeight="1">
      <c r="A11" s="616"/>
      <c r="B11" s="241" t="s">
        <v>453</v>
      </c>
      <c r="C11" s="239">
        <f>D11+Y11</f>
        <v>698709</v>
      </c>
      <c r="D11" s="460">
        <f t="shared" si="0"/>
        <v>689501</v>
      </c>
      <c r="E11" s="460">
        <v>11810</v>
      </c>
      <c r="F11" s="460">
        <v>4287</v>
      </c>
      <c r="G11" s="460">
        <v>51422</v>
      </c>
      <c r="H11" s="460">
        <v>27781</v>
      </c>
      <c r="I11" s="460">
        <v>45710</v>
      </c>
      <c r="J11" s="460">
        <v>13155</v>
      </c>
      <c r="K11" s="460">
        <v>27025</v>
      </c>
      <c r="L11" s="460">
        <v>5437</v>
      </c>
      <c r="M11" s="460">
        <v>3019</v>
      </c>
      <c r="N11" s="460">
        <v>40024</v>
      </c>
      <c r="O11" s="460">
        <v>27018</v>
      </c>
      <c r="P11" s="460">
        <v>126975</v>
      </c>
      <c r="Q11" s="460">
        <v>49210</v>
      </c>
      <c r="R11" s="460">
        <v>93941</v>
      </c>
      <c r="S11" s="460">
        <v>42684</v>
      </c>
      <c r="T11" s="460">
        <v>2533</v>
      </c>
      <c r="U11" s="460">
        <v>887</v>
      </c>
      <c r="V11" s="460">
        <v>83964</v>
      </c>
      <c r="W11" s="460">
        <v>26991</v>
      </c>
      <c r="X11" s="460">
        <v>5628</v>
      </c>
      <c r="Y11" s="460">
        <v>9208</v>
      </c>
    </row>
    <row r="12" spans="1:25" ht="16.5" customHeight="1">
      <c r="A12" s="616"/>
      <c r="B12" s="241" t="s">
        <v>454</v>
      </c>
      <c r="C12" s="239">
        <f aca="true" t="shared" si="1" ref="C12:C36">D12+Y12</f>
        <v>674087</v>
      </c>
      <c r="D12" s="460">
        <f t="shared" si="0"/>
        <v>634360</v>
      </c>
      <c r="E12" s="460">
        <v>4010</v>
      </c>
      <c r="F12" s="460">
        <v>2036</v>
      </c>
      <c r="G12" s="460">
        <v>40165</v>
      </c>
      <c r="H12" s="460">
        <v>26014</v>
      </c>
      <c r="I12" s="460">
        <v>43609</v>
      </c>
      <c r="J12" s="460">
        <v>12195</v>
      </c>
      <c r="K12" s="460">
        <v>18358</v>
      </c>
      <c r="L12" s="460">
        <v>2629</v>
      </c>
      <c r="M12" s="460">
        <v>3586</v>
      </c>
      <c r="N12" s="460">
        <v>32901</v>
      </c>
      <c r="O12" s="460">
        <v>21454</v>
      </c>
      <c r="P12" s="460">
        <v>127712</v>
      </c>
      <c r="Q12" s="460">
        <v>39079</v>
      </c>
      <c r="R12" s="460">
        <v>83296</v>
      </c>
      <c r="S12" s="460">
        <v>32498</v>
      </c>
      <c r="T12" s="460">
        <v>822</v>
      </c>
      <c r="U12" s="460">
        <v>299</v>
      </c>
      <c r="V12" s="460">
        <v>109254</v>
      </c>
      <c r="W12" s="460">
        <v>30758</v>
      </c>
      <c r="X12" s="460">
        <v>3685</v>
      </c>
      <c r="Y12" s="460">
        <v>39727</v>
      </c>
    </row>
    <row r="13" spans="1:25" ht="16.5" customHeight="1">
      <c r="A13" s="614" t="s">
        <v>444</v>
      </c>
      <c r="B13" s="241" t="s">
        <v>452</v>
      </c>
      <c r="C13" s="239">
        <f t="shared" si="1"/>
        <v>1406141</v>
      </c>
      <c r="D13" s="460">
        <f t="shared" si="0"/>
        <v>1369738</v>
      </c>
      <c r="E13" s="460">
        <v>22963</v>
      </c>
      <c r="F13" s="460">
        <v>8273</v>
      </c>
      <c r="G13" s="460">
        <v>123484</v>
      </c>
      <c r="H13" s="460">
        <v>56993</v>
      </c>
      <c r="I13" s="460">
        <v>91109</v>
      </c>
      <c r="J13" s="460">
        <v>20267</v>
      </c>
      <c r="K13" s="460">
        <v>82120</v>
      </c>
      <c r="L13" s="460">
        <v>6960</v>
      </c>
      <c r="M13" s="460">
        <v>5615</v>
      </c>
      <c r="N13" s="460">
        <v>104189</v>
      </c>
      <c r="O13" s="460">
        <v>46604</v>
      </c>
      <c r="P13" s="460">
        <v>294164</v>
      </c>
      <c r="Q13" s="460">
        <v>69909</v>
      </c>
      <c r="R13" s="460">
        <v>180981</v>
      </c>
      <c r="S13" s="460">
        <v>32328</v>
      </c>
      <c r="T13" s="460">
        <v>2473</v>
      </c>
      <c r="U13" s="460">
        <v>521</v>
      </c>
      <c r="V13" s="460">
        <v>191341</v>
      </c>
      <c r="W13" s="460">
        <v>21652</v>
      </c>
      <c r="X13" s="460">
        <v>7792</v>
      </c>
      <c r="Y13" s="460">
        <v>36403</v>
      </c>
    </row>
    <row r="14" spans="1:25" ht="16.5" customHeight="1">
      <c r="A14" s="616"/>
      <c r="B14" s="241" t="s">
        <v>453</v>
      </c>
      <c r="C14" s="239">
        <f t="shared" si="1"/>
        <v>714437</v>
      </c>
      <c r="D14" s="460">
        <f t="shared" si="0"/>
        <v>708426</v>
      </c>
      <c r="E14" s="460">
        <v>17049</v>
      </c>
      <c r="F14" s="460">
        <v>5296</v>
      </c>
      <c r="G14" s="460">
        <v>68135</v>
      </c>
      <c r="H14" s="460">
        <v>28819</v>
      </c>
      <c r="I14" s="460">
        <v>45656</v>
      </c>
      <c r="J14" s="460">
        <v>10435</v>
      </c>
      <c r="K14" s="460">
        <v>48628</v>
      </c>
      <c r="L14" s="460">
        <v>4252</v>
      </c>
      <c r="M14" s="460">
        <v>2325</v>
      </c>
      <c r="N14" s="460">
        <v>56771</v>
      </c>
      <c r="O14" s="460">
        <v>25639</v>
      </c>
      <c r="P14" s="460">
        <v>146126</v>
      </c>
      <c r="Q14" s="460">
        <v>39369</v>
      </c>
      <c r="R14" s="460">
        <v>95393</v>
      </c>
      <c r="S14" s="460">
        <v>18074</v>
      </c>
      <c r="T14" s="460">
        <v>1812</v>
      </c>
      <c r="U14" s="460">
        <v>412</v>
      </c>
      <c r="V14" s="460">
        <v>81202</v>
      </c>
      <c r="W14" s="460">
        <v>9269</v>
      </c>
      <c r="X14" s="460">
        <v>3764</v>
      </c>
      <c r="Y14" s="460">
        <v>6011</v>
      </c>
    </row>
    <row r="15" spans="1:25" ht="16.5" customHeight="1">
      <c r="A15" s="616"/>
      <c r="B15" s="241" t="s">
        <v>454</v>
      </c>
      <c r="C15" s="239">
        <f t="shared" si="1"/>
        <v>691704</v>
      </c>
      <c r="D15" s="460">
        <f t="shared" si="0"/>
        <v>661312</v>
      </c>
      <c r="E15" s="460">
        <v>5914</v>
      </c>
      <c r="F15" s="460">
        <v>2977</v>
      </c>
      <c r="G15" s="460">
        <v>55349</v>
      </c>
      <c r="H15" s="460">
        <v>28174</v>
      </c>
      <c r="I15" s="460">
        <v>45453</v>
      </c>
      <c r="J15" s="460">
        <v>9832</v>
      </c>
      <c r="K15" s="460">
        <v>33492</v>
      </c>
      <c r="L15" s="460">
        <v>2708</v>
      </c>
      <c r="M15" s="460">
        <v>3290</v>
      </c>
      <c r="N15" s="460">
        <v>47418</v>
      </c>
      <c r="O15" s="460">
        <v>20965</v>
      </c>
      <c r="P15" s="460">
        <v>148038</v>
      </c>
      <c r="Q15" s="460">
        <v>30540</v>
      </c>
      <c r="R15" s="460">
        <v>85588</v>
      </c>
      <c r="S15" s="460">
        <v>14254</v>
      </c>
      <c r="T15" s="460">
        <v>661</v>
      </c>
      <c r="U15" s="460">
        <v>109</v>
      </c>
      <c r="V15" s="460">
        <v>110139</v>
      </c>
      <c r="W15" s="460">
        <v>12383</v>
      </c>
      <c r="X15" s="460">
        <v>4028</v>
      </c>
      <c r="Y15" s="460">
        <v>30392</v>
      </c>
    </row>
    <row r="16" spans="1:25" ht="16.5" customHeight="1">
      <c r="A16" s="614" t="s">
        <v>445</v>
      </c>
      <c r="B16" s="241" t="s">
        <v>452</v>
      </c>
      <c r="C16" s="239">
        <f t="shared" si="1"/>
        <v>1439632</v>
      </c>
      <c r="D16" s="460">
        <f t="shared" si="0"/>
        <v>1404748</v>
      </c>
      <c r="E16" s="460">
        <v>25366</v>
      </c>
      <c r="F16" s="460">
        <v>9434</v>
      </c>
      <c r="G16" s="460">
        <v>133721</v>
      </c>
      <c r="H16" s="460">
        <v>63123</v>
      </c>
      <c r="I16" s="460">
        <v>95274</v>
      </c>
      <c r="J16" s="460">
        <v>19856</v>
      </c>
      <c r="K16" s="460">
        <v>81571</v>
      </c>
      <c r="L16" s="460">
        <v>6376</v>
      </c>
      <c r="M16" s="460">
        <v>5617</v>
      </c>
      <c r="N16" s="460">
        <v>105999</v>
      </c>
      <c r="O16" s="460">
        <v>48745</v>
      </c>
      <c r="P16" s="460">
        <v>298846</v>
      </c>
      <c r="Q16" s="460">
        <v>71301</v>
      </c>
      <c r="R16" s="460">
        <v>185655</v>
      </c>
      <c r="S16" s="460">
        <v>32875</v>
      </c>
      <c r="T16" s="460">
        <v>2436</v>
      </c>
      <c r="U16" s="460">
        <v>512</v>
      </c>
      <c r="V16" s="460">
        <v>188951</v>
      </c>
      <c r="W16" s="460">
        <v>21464</v>
      </c>
      <c r="X16" s="460">
        <v>7626</v>
      </c>
      <c r="Y16" s="460">
        <v>34884</v>
      </c>
    </row>
    <row r="17" spans="1:25" ht="16.5" customHeight="1">
      <c r="A17" s="616"/>
      <c r="B17" s="241" t="s">
        <v>453</v>
      </c>
      <c r="C17" s="239">
        <f t="shared" si="1"/>
        <v>729829</v>
      </c>
      <c r="D17" s="460">
        <f t="shared" si="0"/>
        <v>724290</v>
      </c>
      <c r="E17" s="460">
        <v>18671</v>
      </c>
      <c r="F17" s="460">
        <v>6009</v>
      </c>
      <c r="G17" s="460">
        <v>72614</v>
      </c>
      <c r="H17" s="460">
        <v>32248</v>
      </c>
      <c r="I17" s="460">
        <v>47326</v>
      </c>
      <c r="J17" s="460">
        <v>10507</v>
      </c>
      <c r="K17" s="460">
        <v>48201</v>
      </c>
      <c r="L17" s="460">
        <v>3931</v>
      </c>
      <c r="M17" s="460">
        <v>2224</v>
      </c>
      <c r="N17" s="460">
        <v>57515</v>
      </c>
      <c r="O17" s="460">
        <v>26818</v>
      </c>
      <c r="P17" s="460">
        <v>148262</v>
      </c>
      <c r="Q17" s="460">
        <v>40289</v>
      </c>
      <c r="R17" s="460">
        <v>97190</v>
      </c>
      <c r="S17" s="460">
        <v>18280</v>
      </c>
      <c r="T17" s="460">
        <v>1775</v>
      </c>
      <c r="U17" s="460">
        <v>398</v>
      </c>
      <c r="V17" s="460">
        <v>79378</v>
      </c>
      <c r="W17" s="460">
        <v>9067</v>
      </c>
      <c r="X17" s="460">
        <v>3587</v>
      </c>
      <c r="Y17" s="460">
        <v>5539</v>
      </c>
    </row>
    <row r="18" spans="1:25" ht="16.5" customHeight="1">
      <c r="A18" s="616"/>
      <c r="B18" s="241" t="s">
        <v>454</v>
      </c>
      <c r="C18" s="239">
        <f t="shared" si="1"/>
        <v>709803</v>
      </c>
      <c r="D18" s="460">
        <f t="shared" si="0"/>
        <v>680458</v>
      </c>
      <c r="E18" s="460">
        <v>6695</v>
      </c>
      <c r="F18" s="460">
        <v>3425</v>
      </c>
      <c r="G18" s="460">
        <v>61107</v>
      </c>
      <c r="H18" s="460">
        <v>30875</v>
      </c>
      <c r="I18" s="460">
        <v>47948</v>
      </c>
      <c r="J18" s="460">
        <v>9349</v>
      </c>
      <c r="K18" s="460">
        <v>33370</v>
      </c>
      <c r="L18" s="460">
        <v>2445</v>
      </c>
      <c r="M18" s="460">
        <v>3393</v>
      </c>
      <c r="N18" s="460">
        <v>48484</v>
      </c>
      <c r="O18" s="460">
        <v>21927</v>
      </c>
      <c r="P18" s="460">
        <v>150584</v>
      </c>
      <c r="Q18" s="460">
        <v>31012</v>
      </c>
      <c r="R18" s="460">
        <v>88465</v>
      </c>
      <c r="S18" s="460">
        <v>14595</v>
      </c>
      <c r="T18" s="460">
        <v>661</v>
      </c>
      <c r="U18" s="460">
        <v>114</v>
      </c>
      <c r="V18" s="460">
        <v>109573</v>
      </c>
      <c r="W18" s="460">
        <v>12397</v>
      </c>
      <c r="X18" s="460">
        <v>4039</v>
      </c>
      <c r="Y18" s="460">
        <v>29345</v>
      </c>
    </row>
    <row r="19" spans="1:25" ht="16.5" customHeight="1">
      <c r="A19" s="614" t="s">
        <v>446</v>
      </c>
      <c r="B19" s="241" t="s">
        <v>452</v>
      </c>
      <c r="C19" s="239">
        <f t="shared" si="1"/>
        <v>1473406</v>
      </c>
      <c r="D19" s="460">
        <f t="shared" si="0"/>
        <v>1440079</v>
      </c>
      <c r="E19" s="460">
        <v>29111</v>
      </c>
      <c r="F19" s="460">
        <v>11211</v>
      </c>
      <c r="G19" s="460">
        <v>150889</v>
      </c>
      <c r="H19" s="460">
        <v>66748</v>
      </c>
      <c r="I19" s="460">
        <v>100414</v>
      </c>
      <c r="J19" s="460">
        <v>17558</v>
      </c>
      <c r="K19" s="460">
        <v>80271</v>
      </c>
      <c r="L19" s="460">
        <v>5750</v>
      </c>
      <c r="M19" s="460">
        <v>5449</v>
      </c>
      <c r="N19" s="460">
        <v>111819</v>
      </c>
      <c r="O19" s="460">
        <v>56415</v>
      </c>
      <c r="P19" s="460">
        <v>301746</v>
      </c>
      <c r="Q19" s="460">
        <v>70511</v>
      </c>
      <c r="R19" s="460">
        <v>181771</v>
      </c>
      <c r="S19" s="460">
        <v>33412</v>
      </c>
      <c r="T19" s="460">
        <v>2386</v>
      </c>
      <c r="U19" s="460">
        <v>495</v>
      </c>
      <c r="V19" s="460">
        <v>186131</v>
      </c>
      <c r="W19" s="460">
        <v>20643</v>
      </c>
      <c r="X19" s="460">
        <v>7349</v>
      </c>
      <c r="Y19" s="460">
        <v>33327</v>
      </c>
    </row>
    <row r="20" spans="1:25" ht="16.5" customHeight="1">
      <c r="A20" s="616"/>
      <c r="B20" s="241" t="s">
        <v>453</v>
      </c>
      <c r="C20" s="239">
        <f t="shared" si="1"/>
        <v>745483</v>
      </c>
      <c r="D20" s="460">
        <f t="shared" si="0"/>
        <v>740327</v>
      </c>
      <c r="E20" s="460">
        <v>21109</v>
      </c>
      <c r="F20" s="460">
        <v>6937</v>
      </c>
      <c r="G20" s="460">
        <v>79978</v>
      </c>
      <c r="H20" s="460">
        <v>34854</v>
      </c>
      <c r="I20" s="460">
        <v>49521</v>
      </c>
      <c r="J20" s="460">
        <v>9351</v>
      </c>
      <c r="K20" s="460">
        <v>47301</v>
      </c>
      <c r="L20" s="460">
        <v>3626</v>
      </c>
      <c r="M20" s="460">
        <v>1899</v>
      </c>
      <c r="N20" s="460">
        <v>60313</v>
      </c>
      <c r="O20" s="460">
        <v>30844</v>
      </c>
      <c r="P20" s="460">
        <v>149845</v>
      </c>
      <c r="Q20" s="460">
        <v>40458</v>
      </c>
      <c r="R20" s="460">
        <v>94650</v>
      </c>
      <c r="S20" s="460">
        <v>18482</v>
      </c>
      <c r="T20" s="460">
        <v>1724</v>
      </c>
      <c r="U20" s="460">
        <v>378</v>
      </c>
      <c r="V20" s="460">
        <v>77254</v>
      </c>
      <c r="W20" s="460">
        <v>8437</v>
      </c>
      <c r="X20" s="460">
        <v>3366</v>
      </c>
      <c r="Y20" s="460">
        <v>5156</v>
      </c>
    </row>
    <row r="21" spans="1:25" ht="16.5" customHeight="1">
      <c r="A21" s="616"/>
      <c r="B21" s="241" t="s">
        <v>454</v>
      </c>
      <c r="C21" s="239">
        <f t="shared" si="1"/>
        <v>727923</v>
      </c>
      <c r="D21" s="460">
        <f t="shared" si="0"/>
        <v>699752</v>
      </c>
      <c r="E21" s="460">
        <v>8002</v>
      </c>
      <c r="F21" s="460">
        <v>4274</v>
      </c>
      <c r="G21" s="460">
        <v>70910</v>
      </c>
      <c r="H21" s="460">
        <v>31894</v>
      </c>
      <c r="I21" s="460">
        <v>50893</v>
      </c>
      <c r="J21" s="460">
        <v>8207</v>
      </c>
      <c r="K21" s="460">
        <v>32970</v>
      </c>
      <c r="L21" s="460">
        <v>2124</v>
      </c>
      <c r="M21" s="460">
        <v>3550</v>
      </c>
      <c r="N21" s="460">
        <v>51506</v>
      </c>
      <c r="O21" s="460">
        <v>25571</v>
      </c>
      <c r="P21" s="460">
        <v>151901</v>
      </c>
      <c r="Q21" s="460">
        <v>30053</v>
      </c>
      <c r="R21" s="460">
        <v>87121</v>
      </c>
      <c r="S21" s="460">
        <v>14930</v>
      </c>
      <c r="T21" s="460">
        <v>662</v>
      </c>
      <c r="U21" s="460">
        <v>117</v>
      </c>
      <c r="V21" s="460">
        <v>108877</v>
      </c>
      <c r="W21" s="460">
        <v>12206</v>
      </c>
      <c r="X21" s="460">
        <v>3984</v>
      </c>
      <c r="Y21" s="460">
        <v>28171</v>
      </c>
    </row>
    <row r="22" spans="1:25" ht="16.5" customHeight="1">
      <c r="A22" s="614" t="s">
        <v>447</v>
      </c>
      <c r="B22" s="241" t="s">
        <v>452</v>
      </c>
      <c r="C22" s="239">
        <f t="shared" si="1"/>
        <v>1509705</v>
      </c>
      <c r="D22" s="460">
        <f t="shared" si="0"/>
        <v>1477750</v>
      </c>
      <c r="E22" s="460">
        <v>32942</v>
      </c>
      <c r="F22" s="460">
        <v>13099</v>
      </c>
      <c r="G22" s="460">
        <v>165378</v>
      </c>
      <c r="H22" s="460">
        <v>74935</v>
      </c>
      <c r="I22" s="460">
        <v>101896</v>
      </c>
      <c r="J22" s="460">
        <v>16473</v>
      </c>
      <c r="K22" s="460">
        <v>79179</v>
      </c>
      <c r="L22" s="460">
        <v>5511</v>
      </c>
      <c r="M22" s="460">
        <v>5270</v>
      </c>
      <c r="N22" s="460">
        <v>113840</v>
      </c>
      <c r="O22" s="460">
        <v>59941</v>
      </c>
      <c r="P22" s="460">
        <v>305537</v>
      </c>
      <c r="Q22" s="460">
        <v>71220</v>
      </c>
      <c r="R22" s="460">
        <v>185283</v>
      </c>
      <c r="S22" s="460">
        <v>32317</v>
      </c>
      <c r="T22" s="460">
        <v>2325</v>
      </c>
      <c r="U22" s="460">
        <v>472</v>
      </c>
      <c r="V22" s="460">
        <v>184724</v>
      </c>
      <c r="W22" s="460">
        <v>20309</v>
      </c>
      <c r="X22" s="460">
        <v>7099</v>
      </c>
      <c r="Y22" s="460">
        <v>31955</v>
      </c>
    </row>
    <row r="23" spans="1:25" ht="16.5" customHeight="1">
      <c r="A23" s="616"/>
      <c r="B23" s="241" t="s">
        <v>453</v>
      </c>
      <c r="C23" s="239">
        <f t="shared" si="1"/>
        <v>761935</v>
      </c>
      <c r="D23" s="460">
        <f t="shared" si="0"/>
        <v>757125</v>
      </c>
      <c r="E23" s="460">
        <v>23589</v>
      </c>
      <c r="F23" s="460">
        <v>8210</v>
      </c>
      <c r="G23" s="460">
        <v>86365</v>
      </c>
      <c r="H23" s="460">
        <v>39482</v>
      </c>
      <c r="I23" s="460">
        <v>50115</v>
      </c>
      <c r="J23" s="460">
        <v>8945</v>
      </c>
      <c r="K23" s="460">
        <v>46515</v>
      </c>
      <c r="L23" s="460">
        <v>3490</v>
      </c>
      <c r="M23" s="460">
        <v>1620</v>
      </c>
      <c r="N23" s="460">
        <v>60717</v>
      </c>
      <c r="O23" s="460">
        <v>32448</v>
      </c>
      <c r="P23" s="460">
        <v>151533</v>
      </c>
      <c r="Q23" s="460">
        <v>41313</v>
      </c>
      <c r="R23" s="460">
        <v>95929</v>
      </c>
      <c r="S23" s="460">
        <v>17905</v>
      </c>
      <c r="T23" s="460">
        <v>1660</v>
      </c>
      <c r="U23" s="460">
        <v>359</v>
      </c>
      <c r="V23" s="460">
        <v>75675</v>
      </c>
      <c r="W23" s="460">
        <v>8106</v>
      </c>
      <c r="X23" s="460">
        <v>3149</v>
      </c>
      <c r="Y23" s="460">
        <v>4810</v>
      </c>
    </row>
    <row r="24" spans="1:28" ht="16.5" customHeight="1">
      <c r="A24" s="616"/>
      <c r="B24" s="241" t="s">
        <v>454</v>
      </c>
      <c r="C24" s="239">
        <f t="shared" si="1"/>
        <v>747770</v>
      </c>
      <c r="D24" s="460">
        <f t="shared" si="0"/>
        <v>720625</v>
      </c>
      <c r="E24" s="460">
        <v>9353</v>
      </c>
      <c r="F24" s="460">
        <v>4889</v>
      </c>
      <c r="G24" s="460">
        <v>79013</v>
      </c>
      <c r="H24" s="460">
        <v>35453</v>
      </c>
      <c r="I24" s="460">
        <v>51781</v>
      </c>
      <c r="J24" s="460">
        <v>7528</v>
      </c>
      <c r="K24" s="460">
        <v>32664</v>
      </c>
      <c r="L24" s="460">
        <v>2021</v>
      </c>
      <c r="M24" s="460">
        <v>3650</v>
      </c>
      <c r="N24" s="460">
        <v>53123</v>
      </c>
      <c r="O24" s="460">
        <v>27493</v>
      </c>
      <c r="P24" s="460">
        <v>154004</v>
      </c>
      <c r="Q24" s="460">
        <v>29907</v>
      </c>
      <c r="R24" s="460">
        <v>89354</v>
      </c>
      <c r="S24" s="460">
        <v>14412</v>
      </c>
      <c r="T24" s="460">
        <v>665</v>
      </c>
      <c r="U24" s="460">
        <v>113</v>
      </c>
      <c r="V24" s="460">
        <v>109049</v>
      </c>
      <c r="W24" s="460">
        <v>12203</v>
      </c>
      <c r="X24" s="460">
        <v>3950</v>
      </c>
      <c r="Y24" s="460">
        <v>27145</v>
      </c>
      <c r="AB24" s="226"/>
    </row>
    <row r="25" spans="1:28" ht="16.5" customHeight="1">
      <c r="A25" s="614" t="s">
        <v>448</v>
      </c>
      <c r="B25" s="241" t="s">
        <v>452</v>
      </c>
      <c r="C25" s="239">
        <f t="shared" si="1"/>
        <v>1540875</v>
      </c>
      <c r="D25" s="460">
        <f t="shared" si="0"/>
        <v>1510377</v>
      </c>
      <c r="E25" s="460">
        <v>37694</v>
      </c>
      <c r="F25" s="460">
        <v>14058</v>
      </c>
      <c r="G25" s="460">
        <v>182702</v>
      </c>
      <c r="H25" s="460">
        <v>82192</v>
      </c>
      <c r="I25" s="460">
        <v>102185</v>
      </c>
      <c r="J25" s="460">
        <v>16134</v>
      </c>
      <c r="K25" s="460">
        <v>77780</v>
      </c>
      <c r="L25" s="460">
        <v>5285</v>
      </c>
      <c r="M25" s="460">
        <v>5205</v>
      </c>
      <c r="N25" s="460">
        <v>116404</v>
      </c>
      <c r="O25" s="460">
        <v>63385</v>
      </c>
      <c r="P25" s="460">
        <v>307035</v>
      </c>
      <c r="Q25" s="460">
        <v>71973</v>
      </c>
      <c r="R25" s="460">
        <v>185740</v>
      </c>
      <c r="S25" s="460">
        <v>30927</v>
      </c>
      <c r="T25" s="460">
        <v>2251</v>
      </c>
      <c r="U25" s="460">
        <v>453</v>
      </c>
      <c r="V25" s="460">
        <v>182061</v>
      </c>
      <c r="W25" s="460">
        <v>20244</v>
      </c>
      <c r="X25" s="460">
        <v>6669</v>
      </c>
      <c r="Y25" s="460">
        <v>30498</v>
      </c>
      <c r="AB25" s="226"/>
    </row>
    <row r="26" spans="1:28" ht="16.5" customHeight="1">
      <c r="A26" s="615"/>
      <c r="B26" s="241" t="s">
        <v>453</v>
      </c>
      <c r="C26" s="239">
        <f t="shared" si="1"/>
        <v>775491</v>
      </c>
      <c r="D26" s="460">
        <f t="shared" si="0"/>
        <v>771040</v>
      </c>
      <c r="E26" s="460">
        <v>26606</v>
      </c>
      <c r="F26" s="460">
        <v>8633</v>
      </c>
      <c r="G26" s="460">
        <v>94059</v>
      </c>
      <c r="H26" s="460">
        <v>43157</v>
      </c>
      <c r="I26" s="460">
        <v>50010</v>
      </c>
      <c r="J26" s="460">
        <v>8789</v>
      </c>
      <c r="K26" s="460">
        <v>45603</v>
      </c>
      <c r="L26" s="460">
        <v>3357</v>
      </c>
      <c r="M26" s="460">
        <v>1368</v>
      </c>
      <c r="N26" s="460">
        <v>61928</v>
      </c>
      <c r="O26" s="460">
        <v>33874</v>
      </c>
      <c r="P26" s="460">
        <v>152595</v>
      </c>
      <c r="Q26" s="460">
        <v>42437</v>
      </c>
      <c r="R26" s="460">
        <v>95506</v>
      </c>
      <c r="S26" s="460">
        <v>16996</v>
      </c>
      <c r="T26" s="460">
        <v>1571</v>
      </c>
      <c r="U26" s="460">
        <v>337</v>
      </c>
      <c r="V26" s="460">
        <v>73492</v>
      </c>
      <c r="W26" s="460">
        <v>7908</v>
      </c>
      <c r="X26" s="460">
        <v>2814</v>
      </c>
      <c r="Y26" s="460">
        <v>4451</v>
      </c>
      <c r="AB26" s="226"/>
    </row>
    <row r="27" spans="1:28" ht="16.5" customHeight="1">
      <c r="A27" s="615"/>
      <c r="B27" s="241" t="s">
        <v>454</v>
      </c>
      <c r="C27" s="239">
        <f t="shared" si="1"/>
        <v>765384</v>
      </c>
      <c r="D27" s="460">
        <f t="shared" si="0"/>
        <v>739337</v>
      </c>
      <c r="E27" s="460">
        <v>11088</v>
      </c>
      <c r="F27" s="460">
        <v>5425</v>
      </c>
      <c r="G27" s="460">
        <v>88643</v>
      </c>
      <c r="H27" s="460">
        <v>39035</v>
      </c>
      <c r="I27" s="460">
        <v>52175</v>
      </c>
      <c r="J27" s="460">
        <v>7345</v>
      </c>
      <c r="K27" s="460">
        <v>32177</v>
      </c>
      <c r="L27" s="460">
        <v>1928</v>
      </c>
      <c r="M27" s="460">
        <v>3837</v>
      </c>
      <c r="N27" s="460">
        <v>54476</v>
      </c>
      <c r="O27" s="460">
        <v>29511</v>
      </c>
      <c r="P27" s="460">
        <v>154440</v>
      </c>
      <c r="Q27" s="460">
        <v>29536</v>
      </c>
      <c r="R27" s="460">
        <v>90234</v>
      </c>
      <c r="S27" s="460">
        <v>13931</v>
      </c>
      <c r="T27" s="460">
        <v>680</v>
      </c>
      <c r="U27" s="460">
        <v>116</v>
      </c>
      <c r="V27" s="460">
        <v>108569</v>
      </c>
      <c r="W27" s="460">
        <v>12336</v>
      </c>
      <c r="X27" s="460">
        <v>3855</v>
      </c>
      <c r="Y27" s="460">
        <v>26047</v>
      </c>
      <c r="AB27" s="226"/>
    </row>
    <row r="28" spans="1:28" ht="16.5" customHeight="1">
      <c r="A28" s="614" t="s">
        <v>449</v>
      </c>
      <c r="B28" s="241" t="s">
        <v>452</v>
      </c>
      <c r="C28" s="239">
        <f t="shared" si="1"/>
        <v>1572540</v>
      </c>
      <c r="D28" s="460">
        <f t="shared" si="0"/>
        <v>1543523</v>
      </c>
      <c r="E28" s="460">
        <v>41987</v>
      </c>
      <c r="F28" s="460">
        <v>15297</v>
      </c>
      <c r="G28" s="460">
        <v>200647</v>
      </c>
      <c r="H28" s="460">
        <v>88630</v>
      </c>
      <c r="I28" s="460">
        <v>102336</v>
      </c>
      <c r="J28" s="460">
        <v>15637</v>
      </c>
      <c r="K28" s="460">
        <v>76536</v>
      </c>
      <c r="L28" s="460">
        <v>5193</v>
      </c>
      <c r="M28" s="460">
        <v>5629</v>
      </c>
      <c r="N28" s="460">
        <v>117714</v>
      </c>
      <c r="O28" s="460">
        <v>60446</v>
      </c>
      <c r="P28" s="460">
        <v>310500</v>
      </c>
      <c r="Q28" s="460">
        <v>77130</v>
      </c>
      <c r="R28" s="460">
        <v>185767</v>
      </c>
      <c r="S28" s="460">
        <v>31160</v>
      </c>
      <c r="T28" s="460">
        <v>2162</v>
      </c>
      <c r="U28" s="460">
        <v>445</v>
      </c>
      <c r="V28" s="460">
        <v>179735</v>
      </c>
      <c r="W28" s="460">
        <v>20166</v>
      </c>
      <c r="X28" s="460">
        <v>6406</v>
      </c>
      <c r="Y28" s="460">
        <v>29017</v>
      </c>
      <c r="AB28" s="226"/>
    </row>
    <row r="29" spans="1:28" ht="16.5" customHeight="1">
      <c r="A29" s="615"/>
      <c r="B29" s="241" t="s">
        <v>453</v>
      </c>
      <c r="C29" s="239">
        <f t="shared" si="1"/>
        <v>789595</v>
      </c>
      <c r="D29" s="460">
        <f t="shared" si="0"/>
        <v>785505</v>
      </c>
      <c r="E29" s="460">
        <v>29261</v>
      </c>
      <c r="F29" s="460">
        <v>9246</v>
      </c>
      <c r="G29" s="460">
        <v>102345</v>
      </c>
      <c r="H29" s="460">
        <v>46747</v>
      </c>
      <c r="I29" s="460">
        <v>49999</v>
      </c>
      <c r="J29" s="460">
        <v>8560</v>
      </c>
      <c r="K29" s="460">
        <v>44811</v>
      </c>
      <c r="L29" s="460">
        <v>3293</v>
      </c>
      <c r="M29" s="460">
        <v>1337</v>
      </c>
      <c r="N29" s="460">
        <v>62287</v>
      </c>
      <c r="O29" s="460">
        <v>32186</v>
      </c>
      <c r="P29" s="460">
        <v>154426</v>
      </c>
      <c r="Q29" s="460">
        <v>45264</v>
      </c>
      <c r="R29" s="460">
        <v>94954</v>
      </c>
      <c r="S29" s="460">
        <v>16931</v>
      </c>
      <c r="T29" s="460">
        <v>1491</v>
      </c>
      <c r="U29" s="460">
        <v>330</v>
      </c>
      <c r="V29" s="460">
        <v>71648</v>
      </c>
      <c r="W29" s="460">
        <v>7753</v>
      </c>
      <c r="X29" s="460">
        <v>2636</v>
      </c>
      <c r="Y29" s="460">
        <v>4090</v>
      </c>
      <c r="AB29" s="226"/>
    </row>
    <row r="30" spans="1:28" ht="16.5" customHeight="1">
      <c r="A30" s="615"/>
      <c r="B30" s="241" t="s">
        <v>454</v>
      </c>
      <c r="C30" s="239">
        <f t="shared" si="1"/>
        <v>782945</v>
      </c>
      <c r="D30" s="460">
        <f t="shared" si="0"/>
        <v>758018</v>
      </c>
      <c r="E30" s="460">
        <v>12726</v>
      </c>
      <c r="F30" s="460">
        <v>6051</v>
      </c>
      <c r="G30" s="460">
        <v>98302</v>
      </c>
      <c r="H30" s="460">
        <v>41883</v>
      </c>
      <c r="I30" s="460">
        <v>52337</v>
      </c>
      <c r="J30" s="460">
        <v>7077</v>
      </c>
      <c r="K30" s="460">
        <v>31725</v>
      </c>
      <c r="L30" s="460">
        <v>1900</v>
      </c>
      <c r="M30" s="460">
        <v>4292</v>
      </c>
      <c r="N30" s="460">
        <v>55427</v>
      </c>
      <c r="O30" s="460">
        <v>28260</v>
      </c>
      <c r="P30" s="460">
        <v>156074</v>
      </c>
      <c r="Q30" s="460">
        <v>31866</v>
      </c>
      <c r="R30" s="460">
        <v>90813</v>
      </c>
      <c r="S30" s="460">
        <v>14229</v>
      </c>
      <c r="T30" s="460">
        <v>671</v>
      </c>
      <c r="U30" s="460">
        <v>115</v>
      </c>
      <c r="V30" s="460">
        <v>108087</v>
      </c>
      <c r="W30" s="460">
        <v>12413</v>
      </c>
      <c r="X30" s="460">
        <v>3770</v>
      </c>
      <c r="Y30" s="460">
        <v>24927</v>
      </c>
      <c r="AB30" s="226"/>
    </row>
    <row r="31" spans="1:28" ht="16.5" customHeight="1">
      <c r="A31" s="614" t="s">
        <v>450</v>
      </c>
      <c r="B31" s="241" t="s">
        <v>452</v>
      </c>
      <c r="C31" s="239">
        <f t="shared" si="1"/>
        <v>1603217</v>
      </c>
      <c r="D31" s="460">
        <f t="shared" si="0"/>
        <v>1575528</v>
      </c>
      <c r="E31" s="460">
        <v>46256</v>
      </c>
      <c r="F31" s="460">
        <v>16492</v>
      </c>
      <c r="G31" s="460">
        <v>218168</v>
      </c>
      <c r="H31" s="460">
        <v>95221</v>
      </c>
      <c r="I31" s="460">
        <v>102414</v>
      </c>
      <c r="J31" s="460">
        <v>15116</v>
      </c>
      <c r="K31" s="460">
        <v>75603</v>
      </c>
      <c r="L31" s="460">
        <v>5106</v>
      </c>
      <c r="M31" s="460">
        <v>6391</v>
      </c>
      <c r="N31" s="460">
        <v>118019</v>
      </c>
      <c r="O31" s="460">
        <v>60935</v>
      </c>
      <c r="P31" s="460">
        <v>313103</v>
      </c>
      <c r="Q31" s="460">
        <v>78943</v>
      </c>
      <c r="R31" s="460">
        <v>186658</v>
      </c>
      <c r="S31" s="460">
        <v>30802</v>
      </c>
      <c r="T31" s="460">
        <v>2106</v>
      </c>
      <c r="U31" s="460">
        <v>433</v>
      </c>
      <c r="V31" s="460">
        <v>177336</v>
      </c>
      <c r="W31" s="460">
        <v>20223</v>
      </c>
      <c r="X31" s="460">
        <v>6203</v>
      </c>
      <c r="Y31" s="460">
        <v>27689</v>
      </c>
      <c r="AB31" s="226"/>
    </row>
    <row r="32" spans="1:28" ht="16.5" customHeight="1">
      <c r="A32" s="615"/>
      <c r="B32" s="241" t="s">
        <v>453</v>
      </c>
      <c r="C32" s="239">
        <f t="shared" si="1"/>
        <v>802791</v>
      </c>
      <c r="D32" s="460">
        <f t="shared" si="0"/>
        <v>798997</v>
      </c>
      <c r="E32" s="460">
        <v>31854</v>
      </c>
      <c r="F32" s="460">
        <v>9977</v>
      </c>
      <c r="G32" s="460">
        <v>110591</v>
      </c>
      <c r="H32" s="460">
        <v>49919</v>
      </c>
      <c r="I32" s="460">
        <v>49922</v>
      </c>
      <c r="J32" s="460">
        <v>8419</v>
      </c>
      <c r="K32" s="460">
        <v>44229</v>
      </c>
      <c r="L32" s="460">
        <v>3211</v>
      </c>
      <c r="M32" s="460">
        <v>1398</v>
      </c>
      <c r="N32" s="460">
        <v>61811</v>
      </c>
      <c r="O32" s="460">
        <v>32712</v>
      </c>
      <c r="P32" s="460">
        <v>156027</v>
      </c>
      <c r="Q32" s="460">
        <v>46198</v>
      </c>
      <c r="R32" s="460">
        <v>94458</v>
      </c>
      <c r="S32" s="460">
        <v>16720</v>
      </c>
      <c r="T32" s="460">
        <v>1436</v>
      </c>
      <c r="U32" s="460">
        <v>319</v>
      </c>
      <c r="V32" s="460">
        <v>69694</v>
      </c>
      <c r="W32" s="460">
        <v>7646</v>
      </c>
      <c r="X32" s="460">
        <v>2456</v>
      </c>
      <c r="Y32" s="460">
        <v>3794</v>
      </c>
      <c r="AB32" s="226"/>
    </row>
    <row r="33" spans="1:28" ht="16.5" customHeight="1">
      <c r="A33" s="615"/>
      <c r="B33" s="241" t="s">
        <v>454</v>
      </c>
      <c r="C33" s="239">
        <f t="shared" si="1"/>
        <v>800426</v>
      </c>
      <c r="D33" s="460">
        <f t="shared" si="0"/>
        <v>776531</v>
      </c>
      <c r="E33" s="460">
        <v>14402</v>
      </c>
      <c r="F33" s="460">
        <v>6515</v>
      </c>
      <c r="G33" s="460">
        <v>107577</v>
      </c>
      <c r="H33" s="460">
        <v>45302</v>
      </c>
      <c r="I33" s="460">
        <v>52492</v>
      </c>
      <c r="J33" s="460">
        <v>6697</v>
      </c>
      <c r="K33" s="460">
        <v>31374</v>
      </c>
      <c r="L33" s="460">
        <v>1895</v>
      </c>
      <c r="M33" s="460">
        <v>4993</v>
      </c>
      <c r="N33" s="460">
        <v>56208</v>
      </c>
      <c r="O33" s="460">
        <v>28223</v>
      </c>
      <c r="P33" s="460">
        <v>157076</v>
      </c>
      <c r="Q33" s="460">
        <v>32745</v>
      </c>
      <c r="R33" s="460">
        <v>92200</v>
      </c>
      <c r="S33" s="460">
        <v>14082</v>
      </c>
      <c r="T33" s="460">
        <v>670</v>
      </c>
      <c r="U33" s="460">
        <v>114</v>
      </c>
      <c r="V33" s="460">
        <v>107642</v>
      </c>
      <c r="W33" s="460">
        <v>12577</v>
      </c>
      <c r="X33" s="460">
        <v>3747</v>
      </c>
      <c r="Y33" s="460">
        <v>23895</v>
      </c>
      <c r="AB33" s="226"/>
    </row>
    <row r="34" spans="1:30" s="230" customFormat="1" ht="16.5" customHeight="1">
      <c r="A34" s="614" t="s">
        <v>451</v>
      </c>
      <c r="B34" s="241" t="s">
        <v>452</v>
      </c>
      <c r="C34" s="239">
        <f t="shared" si="1"/>
        <v>1638719</v>
      </c>
      <c r="D34" s="461">
        <f t="shared" si="0"/>
        <v>1612347</v>
      </c>
      <c r="E34" s="461">
        <v>50877</v>
      </c>
      <c r="F34" s="461">
        <v>18007</v>
      </c>
      <c r="G34" s="461">
        <v>236470</v>
      </c>
      <c r="H34" s="461">
        <v>102802</v>
      </c>
      <c r="I34" s="461">
        <v>103698</v>
      </c>
      <c r="J34" s="461">
        <v>14849</v>
      </c>
      <c r="K34" s="461">
        <v>75316</v>
      </c>
      <c r="L34" s="461">
        <v>5022</v>
      </c>
      <c r="M34" s="461">
        <v>6711</v>
      </c>
      <c r="N34" s="461">
        <v>118266</v>
      </c>
      <c r="O34" s="461">
        <v>61188</v>
      </c>
      <c r="P34" s="461">
        <v>316651</v>
      </c>
      <c r="Q34" s="461">
        <v>80041</v>
      </c>
      <c r="R34" s="461">
        <v>188269</v>
      </c>
      <c r="S34" s="461">
        <v>30169</v>
      </c>
      <c r="T34" s="461">
        <v>2040</v>
      </c>
      <c r="U34" s="461">
        <v>416</v>
      </c>
      <c r="V34" s="461">
        <v>175014</v>
      </c>
      <c r="W34" s="461">
        <v>20576</v>
      </c>
      <c r="X34" s="461">
        <v>5965</v>
      </c>
      <c r="Y34" s="461">
        <v>26372</v>
      </c>
      <c r="Z34" s="227"/>
      <c r="AA34" s="228"/>
      <c r="AB34" s="229"/>
      <c r="AC34" s="227"/>
      <c r="AD34" s="227"/>
    </row>
    <row r="35" spans="1:28" ht="16.5" customHeight="1">
      <c r="A35" s="615"/>
      <c r="B35" s="241" t="s">
        <v>453</v>
      </c>
      <c r="C35" s="239">
        <f t="shared" si="1"/>
        <v>819230</v>
      </c>
      <c r="D35" s="462">
        <f t="shared" si="0"/>
        <v>815721</v>
      </c>
      <c r="E35" s="463">
        <v>34598</v>
      </c>
      <c r="F35" s="463">
        <v>10904</v>
      </c>
      <c r="G35" s="463">
        <v>119127</v>
      </c>
      <c r="H35" s="463">
        <v>54175</v>
      </c>
      <c r="I35" s="463">
        <v>50727</v>
      </c>
      <c r="J35" s="463">
        <v>8399</v>
      </c>
      <c r="K35" s="463">
        <v>43982</v>
      </c>
      <c r="L35" s="463">
        <v>3176</v>
      </c>
      <c r="M35" s="463">
        <v>1445</v>
      </c>
      <c r="N35" s="463">
        <v>61409</v>
      </c>
      <c r="O35" s="463">
        <v>32921</v>
      </c>
      <c r="P35" s="463">
        <v>158013</v>
      </c>
      <c r="Q35" s="463">
        <v>46846</v>
      </c>
      <c r="R35" s="463">
        <v>94483</v>
      </c>
      <c r="S35" s="463">
        <v>16148</v>
      </c>
      <c r="T35" s="463">
        <v>1373</v>
      </c>
      <c r="U35" s="463">
        <v>300</v>
      </c>
      <c r="V35" s="463">
        <v>67769</v>
      </c>
      <c r="W35" s="463">
        <v>7652</v>
      </c>
      <c r="X35" s="463">
        <v>2274</v>
      </c>
      <c r="Y35" s="463">
        <v>3509</v>
      </c>
      <c r="AA35" s="228"/>
      <c r="AB35" s="226"/>
    </row>
    <row r="36" spans="1:28" ht="16.5" customHeight="1">
      <c r="A36" s="615"/>
      <c r="B36" s="241" t="s">
        <v>454</v>
      </c>
      <c r="C36" s="239">
        <f t="shared" si="1"/>
        <v>819489</v>
      </c>
      <c r="D36" s="462">
        <f t="shared" si="0"/>
        <v>796626</v>
      </c>
      <c r="E36" s="463">
        <v>16279</v>
      </c>
      <c r="F36" s="463">
        <v>7103</v>
      </c>
      <c r="G36" s="463">
        <v>117343</v>
      </c>
      <c r="H36" s="463">
        <v>48627</v>
      </c>
      <c r="I36" s="463">
        <v>52971</v>
      </c>
      <c r="J36" s="463">
        <v>6450</v>
      </c>
      <c r="K36" s="463">
        <v>31334</v>
      </c>
      <c r="L36" s="463">
        <v>1846</v>
      </c>
      <c r="M36" s="463">
        <v>5266</v>
      </c>
      <c r="N36" s="463">
        <v>56857</v>
      </c>
      <c r="O36" s="463">
        <v>28267</v>
      </c>
      <c r="P36" s="463">
        <v>158638</v>
      </c>
      <c r="Q36" s="463">
        <v>33195</v>
      </c>
      <c r="R36" s="463">
        <v>93786</v>
      </c>
      <c r="S36" s="463">
        <v>14021</v>
      </c>
      <c r="T36" s="463">
        <v>667</v>
      </c>
      <c r="U36" s="463">
        <v>116</v>
      </c>
      <c r="V36" s="463">
        <v>107245</v>
      </c>
      <c r="W36" s="463">
        <v>12924</v>
      </c>
      <c r="X36" s="463">
        <v>3691</v>
      </c>
      <c r="Y36" s="463">
        <v>22863</v>
      </c>
      <c r="AA36" s="228"/>
      <c r="AB36" s="226"/>
    </row>
    <row r="37" spans="1:25" ht="0.75" customHeight="1" thickBot="1">
      <c r="A37" s="231"/>
      <c r="B37" s="232"/>
      <c r="C37" s="464"/>
      <c r="D37" s="146"/>
      <c r="E37" s="146"/>
      <c r="F37" s="146"/>
      <c r="G37" s="146"/>
      <c r="H37" s="146"/>
      <c r="I37" s="146"/>
      <c r="J37" s="146"/>
      <c r="K37" s="146"/>
      <c r="L37" s="146"/>
      <c r="M37" s="465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233"/>
      <c r="Y37" s="233"/>
    </row>
    <row r="38" spans="1:23" s="267" customFormat="1" ht="15" customHeight="1">
      <c r="A38" s="265" t="s">
        <v>476</v>
      </c>
      <c r="B38" s="266"/>
      <c r="C38" s="266"/>
      <c r="D38" s="266"/>
      <c r="E38" s="266"/>
      <c r="F38" s="266"/>
      <c r="G38" s="266"/>
      <c r="M38" s="24" t="s">
        <v>760</v>
      </c>
      <c r="S38" s="268"/>
      <c r="T38" s="269"/>
      <c r="W38" s="270"/>
    </row>
  </sheetData>
  <sheetProtection/>
  <mergeCells count="48">
    <mergeCell ref="X8:X9"/>
    <mergeCell ref="A7:A8"/>
    <mergeCell ref="C7:C9"/>
    <mergeCell ref="E7:E8"/>
    <mergeCell ref="O7:O8"/>
    <mergeCell ref="B7:B9"/>
    <mergeCell ref="P7:P8"/>
    <mergeCell ref="G7:G8"/>
    <mergeCell ref="H7:H8"/>
    <mergeCell ref="I7:I8"/>
    <mergeCell ref="N7:N8"/>
    <mergeCell ref="G5:H6"/>
    <mergeCell ref="E5:F6"/>
    <mergeCell ref="K7:L7"/>
    <mergeCell ref="F7:F8"/>
    <mergeCell ref="J7:J8"/>
    <mergeCell ref="T5:U6"/>
    <mergeCell ref="V7:V8"/>
    <mergeCell ref="U7:U8"/>
    <mergeCell ref="T7:T8"/>
    <mergeCell ref="A2:L2"/>
    <mergeCell ref="M2:Y2"/>
    <mergeCell ref="D4:L4"/>
    <mergeCell ref="A5:A6"/>
    <mergeCell ref="V5:W6"/>
    <mergeCell ref="Y4:Y7"/>
    <mergeCell ref="X5:X7"/>
    <mergeCell ref="Q7:Q8"/>
    <mergeCell ref="R7:R8"/>
    <mergeCell ref="W7:W8"/>
    <mergeCell ref="R4:S4"/>
    <mergeCell ref="A22:A24"/>
    <mergeCell ref="S7:S8"/>
    <mergeCell ref="I6:J6"/>
    <mergeCell ref="N5:O6"/>
    <mergeCell ref="P5:Q6"/>
    <mergeCell ref="R5:S6"/>
    <mergeCell ref="B5:B6"/>
    <mergeCell ref="C5:C6"/>
    <mergeCell ref="D5:D6"/>
    <mergeCell ref="A34:A36"/>
    <mergeCell ref="A10:A12"/>
    <mergeCell ref="A13:A15"/>
    <mergeCell ref="A16:A18"/>
    <mergeCell ref="A19:A21"/>
    <mergeCell ref="A25:A27"/>
    <mergeCell ref="A28:A30"/>
    <mergeCell ref="A31:A33"/>
  </mergeCells>
  <printOptions/>
  <pageMargins left="1.1811023622047245" right="1.1811023622047245" top="1.5748031496062993" bottom="1.5748031496062993" header="0.5118110236220472" footer="0.9055118110236221"/>
  <pageSetup firstPageNumber="4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showGridLines="0" zoomScale="120" zoomScaleNormal="120" workbookViewId="0" topLeftCell="A1">
      <selection activeCell="B22" sqref="B22"/>
    </sheetView>
  </sheetViews>
  <sheetFormatPr defaultColWidth="10.625" defaultRowHeight="16.5"/>
  <cols>
    <col min="1" max="1" width="10.125" style="274" customWidth="1"/>
    <col min="2" max="2" width="6.125" style="274" customWidth="1"/>
    <col min="3" max="3" width="6.625" style="284" customWidth="1"/>
    <col min="4" max="4" width="6.875" style="284" customWidth="1"/>
    <col min="5" max="5" width="5.875" style="284" customWidth="1"/>
    <col min="6" max="6" width="5.375" style="284" customWidth="1"/>
    <col min="7" max="7" width="5.875" style="284" customWidth="1"/>
    <col min="8" max="8" width="5.375" style="284" customWidth="1"/>
    <col min="9" max="9" width="5.875" style="284" customWidth="1"/>
    <col min="10" max="10" width="5.375" style="284" customWidth="1"/>
    <col min="11" max="11" width="5.875" style="284" customWidth="1"/>
    <col min="12" max="12" width="5.375" style="284" customWidth="1"/>
    <col min="13" max="13" width="7.125" style="274" customWidth="1"/>
    <col min="14" max="14" width="5.75390625" style="284" customWidth="1"/>
    <col min="15" max="15" width="5.625" style="284" customWidth="1"/>
    <col min="16" max="16" width="5.75390625" style="284" customWidth="1"/>
    <col min="17" max="17" width="5.625" style="284" customWidth="1"/>
    <col min="18" max="18" width="5.75390625" style="284" customWidth="1"/>
    <col min="19" max="19" width="5.625" style="284" customWidth="1"/>
    <col min="20" max="20" width="5.75390625" style="284" customWidth="1"/>
    <col min="21" max="21" width="5.625" style="284" customWidth="1"/>
    <col min="22" max="22" width="5.75390625" style="284" customWidth="1"/>
    <col min="23" max="23" width="5.625" style="284" customWidth="1"/>
    <col min="24" max="24" width="5.625" style="278" customWidth="1"/>
    <col min="25" max="25" width="5.375" style="278" customWidth="1"/>
    <col min="26" max="16384" width="10.625" style="278" customWidth="1"/>
  </cols>
  <sheetData>
    <row r="1" spans="1:25" s="274" customFormat="1" ht="18" customHeight="1">
      <c r="A1" s="235" t="s">
        <v>131</v>
      </c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1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3" t="s">
        <v>478</v>
      </c>
    </row>
    <row r="2" spans="1:25" s="275" customFormat="1" ht="24" customHeight="1">
      <c r="A2" s="658" t="s">
        <v>771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60" t="s">
        <v>493</v>
      </c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</row>
    <row r="3" spans="1:25" ht="12.75" customHeight="1" thickBot="1">
      <c r="A3" s="276"/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36" t="s">
        <v>132</v>
      </c>
      <c r="M3" s="276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37" t="s">
        <v>479</v>
      </c>
    </row>
    <row r="4" spans="1:25" ht="11.25" customHeight="1">
      <c r="A4" s="285"/>
      <c r="B4" s="286"/>
      <c r="C4" s="287"/>
      <c r="D4" s="634" t="s">
        <v>198</v>
      </c>
      <c r="E4" s="635"/>
      <c r="F4" s="635"/>
      <c r="G4" s="635"/>
      <c r="H4" s="635"/>
      <c r="I4" s="635"/>
      <c r="J4" s="635"/>
      <c r="K4" s="635"/>
      <c r="L4" s="635"/>
      <c r="M4" s="288"/>
      <c r="N4" s="289"/>
      <c r="O4" s="290"/>
      <c r="P4" s="291"/>
      <c r="Q4" s="291"/>
      <c r="R4" s="664" t="s">
        <v>482</v>
      </c>
      <c r="S4" s="664"/>
      <c r="T4" s="291"/>
      <c r="U4" s="292"/>
      <c r="V4" s="292"/>
      <c r="W4" s="291"/>
      <c r="X4" s="293"/>
      <c r="Y4" s="662" t="s">
        <v>199</v>
      </c>
    </row>
    <row r="5" spans="1:25" ht="11.25" customHeight="1">
      <c r="A5" s="661" t="s">
        <v>483</v>
      </c>
      <c r="B5" s="626" t="s">
        <v>200</v>
      </c>
      <c r="C5" s="628" t="s">
        <v>201</v>
      </c>
      <c r="D5" s="630" t="s">
        <v>247</v>
      </c>
      <c r="E5" s="622" t="s">
        <v>484</v>
      </c>
      <c r="F5" s="623"/>
      <c r="G5" s="622" t="s">
        <v>485</v>
      </c>
      <c r="H5" s="642"/>
      <c r="I5" s="249"/>
      <c r="J5" s="251" t="s">
        <v>486</v>
      </c>
      <c r="K5" s="292"/>
      <c r="L5" s="294" t="s">
        <v>487</v>
      </c>
      <c r="M5" s="295"/>
      <c r="N5" s="622" t="s">
        <v>773</v>
      </c>
      <c r="O5" s="623"/>
      <c r="P5" s="622" t="s">
        <v>489</v>
      </c>
      <c r="Q5" s="623"/>
      <c r="R5" s="622" t="s">
        <v>772</v>
      </c>
      <c r="S5" s="623"/>
      <c r="T5" s="622" t="s">
        <v>491</v>
      </c>
      <c r="U5" s="623"/>
      <c r="V5" s="622" t="s">
        <v>477</v>
      </c>
      <c r="W5" s="623"/>
      <c r="X5" s="639" t="s">
        <v>202</v>
      </c>
      <c r="Y5" s="663"/>
    </row>
    <row r="6" spans="1:25" ht="21.75" customHeight="1">
      <c r="A6" s="655"/>
      <c r="B6" s="627"/>
      <c r="C6" s="629"/>
      <c r="D6" s="629"/>
      <c r="E6" s="624"/>
      <c r="F6" s="625"/>
      <c r="G6" s="643"/>
      <c r="H6" s="644"/>
      <c r="I6" s="620" t="s">
        <v>492</v>
      </c>
      <c r="J6" s="621"/>
      <c r="K6" s="255" t="s">
        <v>203</v>
      </c>
      <c r="L6" s="249"/>
      <c r="M6" s="256" t="s">
        <v>125</v>
      </c>
      <c r="N6" s="624"/>
      <c r="O6" s="625"/>
      <c r="P6" s="624"/>
      <c r="Q6" s="625"/>
      <c r="R6" s="624"/>
      <c r="S6" s="625"/>
      <c r="T6" s="624"/>
      <c r="U6" s="625"/>
      <c r="V6" s="624"/>
      <c r="W6" s="625"/>
      <c r="X6" s="640"/>
      <c r="Y6" s="663"/>
    </row>
    <row r="7" spans="1:25" ht="21.75" customHeight="1">
      <c r="A7" s="655" t="s">
        <v>480</v>
      </c>
      <c r="B7" s="666" t="s">
        <v>474</v>
      </c>
      <c r="C7" s="656" t="s">
        <v>207</v>
      </c>
      <c r="D7" s="296"/>
      <c r="E7" s="618" t="s">
        <v>128</v>
      </c>
      <c r="F7" s="618" t="s">
        <v>166</v>
      </c>
      <c r="G7" s="618" t="s">
        <v>128</v>
      </c>
      <c r="H7" s="618" t="s">
        <v>166</v>
      </c>
      <c r="I7" s="618" t="s">
        <v>128</v>
      </c>
      <c r="J7" s="618" t="s">
        <v>166</v>
      </c>
      <c r="K7" s="620" t="s">
        <v>778</v>
      </c>
      <c r="L7" s="621"/>
      <c r="M7" s="258" t="s">
        <v>475</v>
      </c>
      <c r="N7" s="618" t="s">
        <v>128</v>
      </c>
      <c r="O7" s="618" t="s">
        <v>166</v>
      </c>
      <c r="P7" s="618" t="s">
        <v>128</v>
      </c>
      <c r="Q7" s="618" t="s">
        <v>166</v>
      </c>
      <c r="R7" s="618" t="s">
        <v>128</v>
      </c>
      <c r="S7" s="618" t="s">
        <v>166</v>
      </c>
      <c r="T7" s="618" t="s">
        <v>128</v>
      </c>
      <c r="U7" s="618" t="s">
        <v>166</v>
      </c>
      <c r="V7" s="618" t="s">
        <v>128</v>
      </c>
      <c r="W7" s="618" t="s">
        <v>166</v>
      </c>
      <c r="X7" s="641"/>
      <c r="Y7" s="663"/>
    </row>
    <row r="8" spans="1:25" ht="11.25" customHeight="1">
      <c r="A8" s="655"/>
      <c r="B8" s="666"/>
      <c r="C8" s="656"/>
      <c r="D8" s="296"/>
      <c r="E8" s="629"/>
      <c r="F8" s="629"/>
      <c r="G8" s="629"/>
      <c r="H8" s="629"/>
      <c r="I8" s="629"/>
      <c r="J8" s="629"/>
      <c r="K8" s="257" t="s">
        <v>128</v>
      </c>
      <c r="L8" s="257" t="s">
        <v>166</v>
      </c>
      <c r="M8" s="259" t="s">
        <v>166</v>
      </c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45" t="s">
        <v>441</v>
      </c>
      <c r="Y8" s="260"/>
    </row>
    <row r="9" spans="1:25" s="279" customFormat="1" ht="11.25" customHeight="1" thickBot="1">
      <c r="A9" s="297"/>
      <c r="B9" s="667"/>
      <c r="C9" s="657"/>
      <c r="D9" s="298" t="s">
        <v>208</v>
      </c>
      <c r="E9" s="262" t="s">
        <v>124</v>
      </c>
      <c r="F9" s="262" t="s">
        <v>209</v>
      </c>
      <c r="G9" s="262" t="s">
        <v>124</v>
      </c>
      <c r="H9" s="262" t="s">
        <v>209</v>
      </c>
      <c r="I9" s="262" t="s">
        <v>124</v>
      </c>
      <c r="J9" s="262" t="s">
        <v>209</v>
      </c>
      <c r="K9" s="263" t="s">
        <v>124</v>
      </c>
      <c r="L9" s="262" t="s">
        <v>209</v>
      </c>
      <c r="M9" s="262" t="s">
        <v>209</v>
      </c>
      <c r="N9" s="262" t="s">
        <v>124</v>
      </c>
      <c r="O9" s="262" t="s">
        <v>209</v>
      </c>
      <c r="P9" s="262" t="s">
        <v>124</v>
      </c>
      <c r="Q9" s="262" t="s">
        <v>209</v>
      </c>
      <c r="R9" s="262" t="s">
        <v>124</v>
      </c>
      <c r="S9" s="262" t="s">
        <v>209</v>
      </c>
      <c r="T9" s="262" t="s">
        <v>124</v>
      </c>
      <c r="U9" s="262" t="s">
        <v>209</v>
      </c>
      <c r="V9" s="262" t="s">
        <v>124</v>
      </c>
      <c r="W9" s="262" t="s">
        <v>209</v>
      </c>
      <c r="X9" s="646"/>
      <c r="Y9" s="264" t="s">
        <v>126</v>
      </c>
    </row>
    <row r="10" spans="1:25" ht="13.5" customHeight="1">
      <c r="A10" s="665" t="s">
        <v>481</v>
      </c>
      <c r="B10" s="241" t="s">
        <v>452</v>
      </c>
      <c r="C10" s="299">
        <f>D10+Y10</f>
        <v>1662647</v>
      </c>
      <c r="D10" s="466">
        <f>D13+D16+D19+D22+D25+D28+D31+D34+D37+D40+D43</f>
        <v>1637648</v>
      </c>
      <c r="E10" s="466">
        <f aca="true" t="shared" si="0" ref="E10:G12">E16+E19+E22+E25+E28+E31+E34+E37+E40+E43</f>
        <v>55310</v>
      </c>
      <c r="F10" s="466">
        <f t="shared" si="0"/>
        <v>20320</v>
      </c>
      <c r="G10" s="466">
        <f t="shared" si="0"/>
        <v>249818</v>
      </c>
      <c r="H10" s="466">
        <f>H13+H16+H19+H22+H25+H28+H31+H34+H37+H40+H43</f>
        <v>109741</v>
      </c>
      <c r="I10" s="466">
        <f>I16+I19+I22+I25+I28+I31+I34+I37+I40+I43</f>
        <v>103482</v>
      </c>
      <c r="J10" s="466">
        <f>J13+J16+J19+J22+J25+J28+J31+J34+J37+J40+J43</f>
        <v>14714</v>
      </c>
      <c r="K10" s="466">
        <f>K16+K19+K22+K25+K28+K31+K34+K37+K40+K43</f>
        <v>74871</v>
      </c>
      <c r="L10" s="466">
        <f aca="true" t="shared" si="1" ref="L10:S12">L13+L16+L19+L22+L25+L28+L31+L34+L37+L40+L43</f>
        <v>4913</v>
      </c>
      <c r="M10" s="466">
        <f t="shared" si="1"/>
        <v>7310</v>
      </c>
      <c r="N10" s="466">
        <f t="shared" si="1"/>
        <v>116798</v>
      </c>
      <c r="O10" s="466">
        <f t="shared" si="1"/>
        <v>60784</v>
      </c>
      <c r="P10" s="466">
        <f t="shared" si="1"/>
        <v>318675</v>
      </c>
      <c r="Q10" s="466">
        <f t="shared" si="1"/>
        <v>81916</v>
      </c>
      <c r="R10" s="466">
        <f t="shared" si="1"/>
        <v>188823</v>
      </c>
      <c r="S10" s="466">
        <f t="shared" si="1"/>
        <v>29961</v>
      </c>
      <c r="T10" s="466">
        <f>T31+T34+T37+T40+T43</f>
        <v>1982</v>
      </c>
      <c r="U10" s="466">
        <f>U31+U34+U37+U40+U43</f>
        <v>414</v>
      </c>
      <c r="V10" s="466">
        <f aca="true" t="shared" si="2" ref="V10:Y12">V13+V16+V19+V22+V25+V28+V31+V34+V37+V40+V43</f>
        <v>171967</v>
      </c>
      <c r="W10" s="466">
        <f t="shared" si="2"/>
        <v>20179</v>
      </c>
      <c r="X10" s="466">
        <f t="shared" si="2"/>
        <v>5670</v>
      </c>
      <c r="Y10" s="466">
        <f t="shared" si="2"/>
        <v>24999</v>
      </c>
    </row>
    <row r="11" spans="1:25" ht="13.5" customHeight="1">
      <c r="A11" s="654"/>
      <c r="B11" s="241" t="s">
        <v>453</v>
      </c>
      <c r="C11" s="300">
        <f>D11+Y11</f>
        <v>830411</v>
      </c>
      <c r="D11" s="467">
        <f>D14+D17+D20+D23+D26+D29+D32+D35+D38+D41+D44</f>
        <v>827183</v>
      </c>
      <c r="E11" s="467">
        <f t="shared" si="0"/>
        <v>37302</v>
      </c>
      <c r="F11" s="467">
        <f t="shared" si="0"/>
        <v>12335</v>
      </c>
      <c r="G11" s="467">
        <f t="shared" si="0"/>
        <v>125208</v>
      </c>
      <c r="H11" s="467">
        <f>H14+H17+H20+H23+H26+H29+H32+H35+H38+H41+H44</f>
        <v>58326</v>
      </c>
      <c r="I11" s="467">
        <f>I17+I20+I23+I26+I29+I32+I35+I38+I41+I44</f>
        <v>50751</v>
      </c>
      <c r="J11" s="467">
        <f>J14+J17+J20+J23+J26+J29+J32+J35+J38+J41+J44</f>
        <v>8254</v>
      </c>
      <c r="K11" s="467">
        <f>K17+K20+K23+K26+K29+K32+K35+K38+K41+K44</f>
        <v>43585</v>
      </c>
      <c r="L11" s="467">
        <f t="shared" si="1"/>
        <v>3107</v>
      </c>
      <c r="M11" s="467">
        <f t="shared" si="1"/>
        <v>1593</v>
      </c>
      <c r="N11" s="467">
        <f t="shared" si="1"/>
        <v>60170</v>
      </c>
      <c r="O11" s="467">
        <f t="shared" si="1"/>
        <v>32690</v>
      </c>
      <c r="P11" s="467">
        <f t="shared" si="1"/>
        <v>159180</v>
      </c>
      <c r="Q11" s="467">
        <f t="shared" si="1"/>
        <v>47917</v>
      </c>
      <c r="R11" s="467">
        <f t="shared" si="1"/>
        <v>94083</v>
      </c>
      <c r="S11" s="467">
        <f t="shared" si="1"/>
        <v>15976</v>
      </c>
      <c r="T11" s="467">
        <f>T32+T35+T38+T41+T44</f>
        <v>1311</v>
      </c>
      <c r="U11" s="467">
        <f>U35+U38+U41+U44</f>
        <v>294</v>
      </c>
      <c r="V11" s="467">
        <f t="shared" si="2"/>
        <v>65637</v>
      </c>
      <c r="W11" s="467">
        <f t="shared" si="2"/>
        <v>7368</v>
      </c>
      <c r="X11" s="467">
        <f t="shared" si="2"/>
        <v>2096</v>
      </c>
      <c r="Y11" s="467">
        <f t="shared" si="2"/>
        <v>3228</v>
      </c>
    </row>
    <row r="12" spans="1:25" ht="13.5" customHeight="1">
      <c r="A12" s="654"/>
      <c r="B12" s="241" t="s">
        <v>454</v>
      </c>
      <c r="C12" s="300">
        <f>D12+Y12</f>
        <v>832236</v>
      </c>
      <c r="D12" s="467">
        <f>D15+D18+D21+D24+D27+D30+D33+D36+D39+D42+D45</f>
        <v>810465</v>
      </c>
      <c r="E12" s="467">
        <f t="shared" si="0"/>
        <v>18008</v>
      </c>
      <c r="F12" s="467">
        <f t="shared" si="0"/>
        <v>7985</v>
      </c>
      <c r="G12" s="467">
        <f t="shared" si="0"/>
        <v>124610</v>
      </c>
      <c r="H12" s="467">
        <f>H15+H18+H21+H24+H27+H30+H33+H36+H39+H42+H45</f>
        <v>51415</v>
      </c>
      <c r="I12" s="467">
        <f>I18+I21+I24+I27+I30+I33+I36+I39+I42+I45</f>
        <v>52731</v>
      </c>
      <c r="J12" s="467">
        <f>J15+J18+J21+J24+J27+J30+J33+J36+J39+J42+J45</f>
        <v>6460</v>
      </c>
      <c r="K12" s="467">
        <f>K18+K21+K24+K27+K30+K33+K36+K39+K42+K45</f>
        <v>31286</v>
      </c>
      <c r="L12" s="467">
        <f t="shared" si="1"/>
        <v>1806</v>
      </c>
      <c r="M12" s="467">
        <f t="shared" si="1"/>
        <v>5717</v>
      </c>
      <c r="N12" s="467">
        <f t="shared" si="1"/>
        <v>56628</v>
      </c>
      <c r="O12" s="467">
        <f t="shared" si="1"/>
        <v>28094</v>
      </c>
      <c r="P12" s="467">
        <f t="shared" si="1"/>
        <v>159495</v>
      </c>
      <c r="Q12" s="467">
        <f t="shared" si="1"/>
        <v>33999</v>
      </c>
      <c r="R12" s="467">
        <f t="shared" si="1"/>
        <v>94740</v>
      </c>
      <c r="S12" s="467">
        <f t="shared" si="1"/>
        <v>13985</v>
      </c>
      <c r="T12" s="467">
        <f>T33+T36+T39+T42+T45</f>
        <v>671</v>
      </c>
      <c r="U12" s="467">
        <f>U33+U36+U39+U42+U45</f>
        <v>120</v>
      </c>
      <c r="V12" s="467">
        <f t="shared" si="2"/>
        <v>106330</v>
      </c>
      <c r="W12" s="467">
        <f t="shared" si="2"/>
        <v>12811</v>
      </c>
      <c r="X12" s="467">
        <f t="shared" si="2"/>
        <v>3574</v>
      </c>
      <c r="Y12" s="467">
        <f t="shared" si="2"/>
        <v>21771</v>
      </c>
    </row>
    <row r="13" spans="1:25" ht="13.5" customHeight="1">
      <c r="A13" s="651" t="s">
        <v>761</v>
      </c>
      <c r="B13" s="241" t="s">
        <v>452</v>
      </c>
      <c r="C13" s="300">
        <f>C14+C15</f>
        <v>154275</v>
      </c>
      <c r="D13" s="468">
        <f>SUM(E13:X13)</f>
        <v>154263</v>
      </c>
      <c r="E13" s="469" t="s">
        <v>60</v>
      </c>
      <c r="F13" s="469" t="s">
        <v>60</v>
      </c>
      <c r="G13" s="469" t="s">
        <v>60</v>
      </c>
      <c r="H13" s="467">
        <f aca="true" t="shared" si="3" ref="H13:Y13">H14+H15</f>
        <v>33647</v>
      </c>
      <c r="I13" s="469" t="s">
        <v>60</v>
      </c>
      <c r="J13" s="467">
        <f t="shared" si="3"/>
        <v>904</v>
      </c>
      <c r="K13" s="469" t="s">
        <v>60</v>
      </c>
      <c r="L13" s="467">
        <f t="shared" si="3"/>
        <v>34</v>
      </c>
      <c r="M13" s="467">
        <f t="shared" si="3"/>
        <v>5769</v>
      </c>
      <c r="N13" s="467">
        <f t="shared" si="3"/>
        <v>2029</v>
      </c>
      <c r="O13" s="467">
        <f t="shared" si="3"/>
        <v>43542</v>
      </c>
      <c r="P13" s="467">
        <f t="shared" si="3"/>
        <v>5637</v>
      </c>
      <c r="Q13" s="467">
        <f t="shared" si="3"/>
        <v>44156</v>
      </c>
      <c r="R13" s="467">
        <f t="shared" si="3"/>
        <v>6704</v>
      </c>
      <c r="S13" s="467">
        <f t="shared" si="3"/>
        <v>9389</v>
      </c>
      <c r="T13" s="469" t="s">
        <v>60</v>
      </c>
      <c r="U13" s="469" t="s">
        <v>60</v>
      </c>
      <c r="V13" s="467">
        <f t="shared" si="3"/>
        <v>131</v>
      </c>
      <c r="W13" s="467">
        <f t="shared" si="3"/>
        <v>2316</v>
      </c>
      <c r="X13" s="467">
        <f t="shared" si="3"/>
        <v>5</v>
      </c>
      <c r="Y13" s="467">
        <f t="shared" si="3"/>
        <v>12</v>
      </c>
    </row>
    <row r="14" spans="1:25" ht="13.5" customHeight="1">
      <c r="A14" s="652"/>
      <c r="B14" s="241" t="s">
        <v>453</v>
      </c>
      <c r="C14" s="300">
        <f>D14+Y14</f>
        <v>80840</v>
      </c>
      <c r="D14" s="468">
        <f aca="true" t="shared" si="4" ref="D14:D45">SUM(E14:X14)</f>
        <v>80832</v>
      </c>
      <c r="E14" s="469" t="s">
        <v>60</v>
      </c>
      <c r="F14" s="469" t="s">
        <v>60</v>
      </c>
      <c r="G14" s="469" t="s">
        <v>60</v>
      </c>
      <c r="H14" s="467">
        <v>17408</v>
      </c>
      <c r="I14" s="469" t="s">
        <v>60</v>
      </c>
      <c r="J14" s="467">
        <v>591</v>
      </c>
      <c r="K14" s="469" t="s">
        <v>60</v>
      </c>
      <c r="L14" s="467">
        <v>4</v>
      </c>
      <c r="M14" s="467">
        <v>948</v>
      </c>
      <c r="N14" s="467">
        <v>1018</v>
      </c>
      <c r="O14" s="468">
        <v>22672</v>
      </c>
      <c r="P14" s="467">
        <v>3348</v>
      </c>
      <c r="Q14" s="468">
        <v>24908</v>
      </c>
      <c r="R14" s="467">
        <v>3701</v>
      </c>
      <c r="S14" s="467">
        <v>4949</v>
      </c>
      <c r="T14" s="469" t="s">
        <v>60</v>
      </c>
      <c r="U14" s="469" t="s">
        <v>60</v>
      </c>
      <c r="V14" s="467">
        <v>81</v>
      </c>
      <c r="W14" s="467">
        <v>1200</v>
      </c>
      <c r="X14" s="467">
        <v>4</v>
      </c>
      <c r="Y14" s="470">
        <v>8</v>
      </c>
    </row>
    <row r="15" spans="1:25" ht="13.5" customHeight="1">
      <c r="A15" s="652"/>
      <c r="B15" s="241" t="s">
        <v>454</v>
      </c>
      <c r="C15" s="300">
        <f>D15+Y15</f>
        <v>73435</v>
      </c>
      <c r="D15" s="468">
        <f t="shared" si="4"/>
        <v>73431</v>
      </c>
      <c r="E15" s="469" t="s">
        <v>60</v>
      </c>
      <c r="F15" s="469" t="s">
        <v>60</v>
      </c>
      <c r="G15" s="469" t="s">
        <v>60</v>
      </c>
      <c r="H15" s="467">
        <v>16239</v>
      </c>
      <c r="I15" s="469" t="s">
        <v>60</v>
      </c>
      <c r="J15" s="467">
        <v>313</v>
      </c>
      <c r="K15" s="469" t="s">
        <v>60</v>
      </c>
      <c r="L15" s="467">
        <v>30</v>
      </c>
      <c r="M15" s="467">
        <v>4821</v>
      </c>
      <c r="N15" s="467">
        <v>1011</v>
      </c>
      <c r="O15" s="468">
        <v>20870</v>
      </c>
      <c r="P15" s="468">
        <v>2289</v>
      </c>
      <c r="Q15" s="468">
        <v>19248</v>
      </c>
      <c r="R15" s="467">
        <v>3003</v>
      </c>
      <c r="S15" s="467">
        <v>4440</v>
      </c>
      <c r="T15" s="469" t="s">
        <v>60</v>
      </c>
      <c r="U15" s="469" t="s">
        <v>60</v>
      </c>
      <c r="V15" s="467">
        <v>50</v>
      </c>
      <c r="W15" s="467">
        <v>1116</v>
      </c>
      <c r="X15" s="467">
        <v>1</v>
      </c>
      <c r="Y15" s="470">
        <v>4</v>
      </c>
    </row>
    <row r="16" spans="1:25" ht="13.5" customHeight="1">
      <c r="A16" s="651" t="s">
        <v>779</v>
      </c>
      <c r="B16" s="241" t="s">
        <v>452</v>
      </c>
      <c r="C16" s="300">
        <f>C17+C18</f>
        <v>144772</v>
      </c>
      <c r="D16" s="468">
        <f t="shared" si="4"/>
        <v>144763</v>
      </c>
      <c r="E16" s="467">
        <f>E17+E18</f>
        <v>846</v>
      </c>
      <c r="F16" s="467">
        <f aca="true" t="shared" si="5" ref="F16:Y16">F17+F18</f>
        <v>4908</v>
      </c>
      <c r="G16" s="467">
        <f t="shared" si="5"/>
        <v>33338</v>
      </c>
      <c r="H16" s="467">
        <f t="shared" si="5"/>
        <v>54644</v>
      </c>
      <c r="I16" s="467">
        <f t="shared" si="5"/>
        <v>2687</v>
      </c>
      <c r="J16" s="467">
        <f t="shared" si="5"/>
        <v>2040</v>
      </c>
      <c r="K16" s="467">
        <f t="shared" si="5"/>
        <v>1702</v>
      </c>
      <c r="L16" s="467">
        <f t="shared" si="5"/>
        <v>42</v>
      </c>
      <c r="M16" s="467">
        <f t="shared" si="5"/>
        <v>818</v>
      </c>
      <c r="N16" s="467">
        <f t="shared" si="5"/>
        <v>11429</v>
      </c>
      <c r="O16" s="467">
        <f t="shared" si="5"/>
        <v>1987</v>
      </c>
      <c r="P16" s="467">
        <f t="shared" si="5"/>
        <v>18535</v>
      </c>
      <c r="Q16" s="467">
        <f t="shared" si="5"/>
        <v>7579</v>
      </c>
      <c r="R16" s="467">
        <f t="shared" si="5"/>
        <v>3231</v>
      </c>
      <c r="S16" s="467">
        <f t="shared" si="5"/>
        <v>808</v>
      </c>
      <c r="T16" s="469" t="s">
        <v>60</v>
      </c>
      <c r="U16" s="469" t="s">
        <v>60</v>
      </c>
      <c r="V16" s="467">
        <f t="shared" si="5"/>
        <v>34</v>
      </c>
      <c r="W16" s="467">
        <f t="shared" si="5"/>
        <v>127</v>
      </c>
      <c r="X16" s="467">
        <f t="shared" si="5"/>
        <v>8</v>
      </c>
      <c r="Y16" s="467">
        <f t="shared" si="5"/>
        <v>9</v>
      </c>
    </row>
    <row r="17" spans="1:25" ht="13.5" customHeight="1">
      <c r="A17" s="652"/>
      <c r="B17" s="241" t="s">
        <v>453</v>
      </c>
      <c r="C17" s="300">
        <f>D17+Y17</f>
        <v>75486</v>
      </c>
      <c r="D17" s="468">
        <f t="shared" si="4"/>
        <v>75481</v>
      </c>
      <c r="E17" s="467">
        <v>567</v>
      </c>
      <c r="F17" s="467">
        <f>36+2986</f>
        <v>3022</v>
      </c>
      <c r="G17" s="467">
        <v>14590</v>
      </c>
      <c r="H17" s="467">
        <v>28877</v>
      </c>
      <c r="I17" s="467">
        <v>1328</v>
      </c>
      <c r="J17" s="467">
        <v>1224</v>
      </c>
      <c r="K17" s="467">
        <v>249</v>
      </c>
      <c r="L17" s="467">
        <v>10</v>
      </c>
      <c r="M17" s="467">
        <v>211</v>
      </c>
      <c r="N17" s="467">
        <v>6235</v>
      </c>
      <c r="O17" s="467">
        <v>1114</v>
      </c>
      <c r="P17" s="467">
        <v>10818</v>
      </c>
      <c r="Q17" s="467">
        <v>4784</v>
      </c>
      <c r="R17" s="467">
        <v>1969</v>
      </c>
      <c r="S17" s="467">
        <v>405</v>
      </c>
      <c r="T17" s="469" t="s">
        <v>60</v>
      </c>
      <c r="U17" s="469" t="s">
        <v>60</v>
      </c>
      <c r="V17" s="467">
        <v>10</v>
      </c>
      <c r="W17" s="470">
        <v>65</v>
      </c>
      <c r="X17" s="467">
        <v>3</v>
      </c>
      <c r="Y17" s="470">
        <v>5</v>
      </c>
    </row>
    <row r="18" spans="1:25" ht="13.5" customHeight="1">
      <c r="A18" s="652"/>
      <c r="B18" s="241" t="s">
        <v>454</v>
      </c>
      <c r="C18" s="300">
        <f>D18+Y18</f>
        <v>69286</v>
      </c>
      <c r="D18" s="468">
        <f>SUM(E18:X18)</f>
        <v>69282</v>
      </c>
      <c r="E18" s="467">
        <v>279</v>
      </c>
      <c r="F18" s="467">
        <f>8+1878</f>
        <v>1886</v>
      </c>
      <c r="G18" s="467">
        <v>18748</v>
      </c>
      <c r="H18" s="467">
        <v>25767</v>
      </c>
      <c r="I18" s="467">
        <v>1359</v>
      </c>
      <c r="J18" s="467">
        <v>816</v>
      </c>
      <c r="K18" s="467">
        <v>1453</v>
      </c>
      <c r="L18" s="467">
        <v>32</v>
      </c>
      <c r="M18" s="467">
        <v>607</v>
      </c>
      <c r="N18" s="467">
        <v>5194</v>
      </c>
      <c r="O18" s="467">
        <v>873</v>
      </c>
      <c r="P18" s="467">
        <v>7717</v>
      </c>
      <c r="Q18" s="467">
        <v>2795</v>
      </c>
      <c r="R18" s="467">
        <v>1262</v>
      </c>
      <c r="S18" s="467">
        <v>403</v>
      </c>
      <c r="T18" s="469" t="s">
        <v>60</v>
      </c>
      <c r="U18" s="469" t="s">
        <v>60</v>
      </c>
      <c r="V18" s="467">
        <v>24</v>
      </c>
      <c r="W18" s="470">
        <v>62</v>
      </c>
      <c r="X18" s="467">
        <v>5</v>
      </c>
      <c r="Y18" s="470">
        <v>4</v>
      </c>
    </row>
    <row r="19" spans="1:25" ht="13.5" customHeight="1">
      <c r="A19" s="651" t="s">
        <v>762</v>
      </c>
      <c r="B19" s="241" t="s">
        <v>452</v>
      </c>
      <c r="C19" s="300">
        <f>C20+C21</f>
        <v>155610</v>
      </c>
      <c r="D19" s="468">
        <f>SUM(E19:X19)</f>
        <v>155581</v>
      </c>
      <c r="E19" s="467">
        <f>E20+E21</f>
        <v>10661</v>
      </c>
      <c r="F19" s="467">
        <f aca="true" t="shared" si="6" ref="F19:Y19">F20+F21</f>
        <v>4439</v>
      </c>
      <c r="G19" s="467">
        <f t="shared" si="6"/>
        <v>61284</v>
      </c>
      <c r="H19" s="467">
        <f t="shared" si="6"/>
        <v>9009</v>
      </c>
      <c r="I19" s="467">
        <f t="shared" si="6"/>
        <v>8838</v>
      </c>
      <c r="J19" s="467">
        <f t="shared" si="6"/>
        <v>3493</v>
      </c>
      <c r="K19" s="467">
        <f t="shared" si="6"/>
        <v>3231</v>
      </c>
      <c r="L19" s="467">
        <f t="shared" si="6"/>
        <v>400</v>
      </c>
      <c r="M19" s="467">
        <f t="shared" si="6"/>
        <v>384</v>
      </c>
      <c r="N19" s="467">
        <f t="shared" si="6"/>
        <v>6734</v>
      </c>
      <c r="O19" s="467">
        <f t="shared" si="6"/>
        <v>2106</v>
      </c>
      <c r="P19" s="467">
        <f t="shared" si="6"/>
        <v>28760</v>
      </c>
      <c r="Q19" s="467">
        <f t="shared" si="6"/>
        <v>7739</v>
      </c>
      <c r="R19" s="467">
        <f t="shared" si="6"/>
        <v>6314</v>
      </c>
      <c r="S19" s="467">
        <f t="shared" si="6"/>
        <v>1201</v>
      </c>
      <c r="T19" s="469" t="s">
        <v>60</v>
      </c>
      <c r="U19" s="469" t="s">
        <v>60</v>
      </c>
      <c r="V19" s="467">
        <f t="shared" si="6"/>
        <v>637</v>
      </c>
      <c r="W19" s="467">
        <f t="shared" si="6"/>
        <v>319</v>
      </c>
      <c r="X19" s="467">
        <f t="shared" si="6"/>
        <v>32</v>
      </c>
      <c r="Y19" s="467">
        <f t="shared" si="6"/>
        <v>29</v>
      </c>
    </row>
    <row r="20" spans="1:25" ht="13.5" customHeight="1">
      <c r="A20" s="652"/>
      <c r="B20" s="241" t="s">
        <v>453</v>
      </c>
      <c r="C20" s="300">
        <f>D20+Y20</f>
        <v>78941</v>
      </c>
      <c r="D20" s="468">
        <f t="shared" si="4"/>
        <v>78929</v>
      </c>
      <c r="E20" s="467">
        <f>64+6835</f>
        <v>6899</v>
      </c>
      <c r="F20" s="467">
        <f>359+2269</f>
        <v>2628</v>
      </c>
      <c r="G20" s="467">
        <v>27862</v>
      </c>
      <c r="H20" s="467">
        <v>5460</v>
      </c>
      <c r="I20" s="467">
        <v>3796</v>
      </c>
      <c r="J20" s="467">
        <v>2084</v>
      </c>
      <c r="K20" s="467">
        <v>1039</v>
      </c>
      <c r="L20" s="467">
        <v>201</v>
      </c>
      <c r="M20" s="467">
        <v>196</v>
      </c>
      <c r="N20" s="467">
        <v>3445</v>
      </c>
      <c r="O20" s="467">
        <v>1158</v>
      </c>
      <c r="P20" s="467">
        <v>15574</v>
      </c>
      <c r="Q20" s="467">
        <v>4605</v>
      </c>
      <c r="R20" s="467">
        <v>3254</v>
      </c>
      <c r="S20" s="467">
        <v>566</v>
      </c>
      <c r="T20" s="469" t="s">
        <v>60</v>
      </c>
      <c r="U20" s="469" t="s">
        <v>60</v>
      </c>
      <c r="V20" s="467">
        <v>73</v>
      </c>
      <c r="W20" s="467">
        <v>84</v>
      </c>
      <c r="X20" s="467">
        <v>5</v>
      </c>
      <c r="Y20" s="470">
        <v>12</v>
      </c>
    </row>
    <row r="21" spans="1:25" ht="13.5" customHeight="1">
      <c r="A21" s="652"/>
      <c r="B21" s="241" t="s">
        <v>454</v>
      </c>
      <c r="C21" s="300">
        <f>D21+Y21</f>
        <v>76669</v>
      </c>
      <c r="D21" s="468">
        <f t="shared" si="4"/>
        <v>76652</v>
      </c>
      <c r="E21" s="467">
        <f>15+3747</f>
        <v>3762</v>
      </c>
      <c r="F21" s="467">
        <f>122+1689</f>
        <v>1811</v>
      </c>
      <c r="G21" s="467">
        <v>33422</v>
      </c>
      <c r="H21" s="467">
        <v>3549</v>
      </c>
      <c r="I21" s="467">
        <v>5042</v>
      </c>
      <c r="J21" s="467">
        <v>1409</v>
      </c>
      <c r="K21" s="467">
        <v>2192</v>
      </c>
      <c r="L21" s="467">
        <v>199</v>
      </c>
      <c r="M21" s="467">
        <v>188</v>
      </c>
      <c r="N21" s="467">
        <v>3289</v>
      </c>
      <c r="O21" s="467">
        <v>948</v>
      </c>
      <c r="P21" s="467">
        <v>13186</v>
      </c>
      <c r="Q21" s="467">
        <v>3134</v>
      </c>
      <c r="R21" s="467">
        <v>3060</v>
      </c>
      <c r="S21" s="467">
        <v>635</v>
      </c>
      <c r="T21" s="469" t="s">
        <v>60</v>
      </c>
      <c r="U21" s="469" t="s">
        <v>60</v>
      </c>
      <c r="V21" s="467">
        <v>564</v>
      </c>
      <c r="W21" s="467">
        <v>235</v>
      </c>
      <c r="X21" s="467">
        <v>27</v>
      </c>
      <c r="Y21" s="470">
        <v>17</v>
      </c>
    </row>
    <row r="22" spans="1:25" ht="13.5" customHeight="1">
      <c r="A22" s="651" t="s">
        <v>763</v>
      </c>
      <c r="B22" s="241" t="s">
        <v>452</v>
      </c>
      <c r="C22" s="300">
        <f>C23+C24</f>
        <v>180379</v>
      </c>
      <c r="D22" s="468">
        <f t="shared" si="4"/>
        <v>180303</v>
      </c>
      <c r="E22" s="467">
        <f>E23+E24</f>
        <v>11626</v>
      </c>
      <c r="F22" s="467">
        <f aca="true" t="shared" si="7" ref="F22:Y22">F23+F24</f>
        <v>3592</v>
      </c>
      <c r="G22" s="467">
        <f t="shared" si="7"/>
        <v>47875</v>
      </c>
      <c r="H22" s="467">
        <f t="shared" si="7"/>
        <v>5150</v>
      </c>
      <c r="I22" s="467">
        <f t="shared" si="7"/>
        <v>23239</v>
      </c>
      <c r="J22" s="467">
        <f t="shared" si="7"/>
        <v>3264</v>
      </c>
      <c r="K22" s="467">
        <f t="shared" si="7"/>
        <v>7692</v>
      </c>
      <c r="L22" s="467">
        <f t="shared" si="7"/>
        <v>1377</v>
      </c>
      <c r="M22" s="467">
        <f t="shared" si="7"/>
        <v>101</v>
      </c>
      <c r="N22" s="467">
        <f t="shared" si="7"/>
        <v>9124</v>
      </c>
      <c r="O22" s="467">
        <f t="shared" si="7"/>
        <v>2081</v>
      </c>
      <c r="P22" s="467">
        <f t="shared" si="7"/>
        <v>44387</v>
      </c>
      <c r="Q22" s="467">
        <f t="shared" si="7"/>
        <v>5067</v>
      </c>
      <c r="R22" s="467">
        <f t="shared" si="7"/>
        <v>12006</v>
      </c>
      <c r="S22" s="467">
        <f t="shared" si="7"/>
        <v>1700</v>
      </c>
      <c r="T22" s="469" t="s">
        <v>60</v>
      </c>
      <c r="U22" s="469" t="s">
        <v>60</v>
      </c>
      <c r="V22" s="467">
        <f t="shared" si="7"/>
        <v>1192</v>
      </c>
      <c r="W22" s="467">
        <f t="shared" si="7"/>
        <v>773</v>
      </c>
      <c r="X22" s="467">
        <f t="shared" si="7"/>
        <v>57</v>
      </c>
      <c r="Y22" s="467">
        <f t="shared" si="7"/>
        <v>76</v>
      </c>
    </row>
    <row r="23" spans="1:25" ht="13.5" customHeight="1">
      <c r="A23" s="652"/>
      <c r="B23" s="241" t="s">
        <v>453</v>
      </c>
      <c r="C23" s="300">
        <f>D23+Y23</f>
        <v>88913</v>
      </c>
      <c r="D23" s="468">
        <f t="shared" si="4"/>
        <v>88881</v>
      </c>
      <c r="E23" s="467">
        <f>383+6974</f>
        <v>7357</v>
      </c>
      <c r="F23" s="467">
        <f>311+1818</f>
        <v>2129</v>
      </c>
      <c r="G23" s="467">
        <v>22685</v>
      </c>
      <c r="H23" s="467">
        <v>2901</v>
      </c>
      <c r="I23" s="467">
        <v>9094</v>
      </c>
      <c r="J23" s="467">
        <v>1749</v>
      </c>
      <c r="K23" s="467">
        <v>3637</v>
      </c>
      <c r="L23" s="467">
        <v>812</v>
      </c>
      <c r="M23" s="467">
        <v>66</v>
      </c>
      <c r="N23" s="467">
        <v>3933</v>
      </c>
      <c r="O23" s="467">
        <v>1197</v>
      </c>
      <c r="P23" s="467">
        <v>22553</v>
      </c>
      <c r="Q23" s="467">
        <v>3235</v>
      </c>
      <c r="R23" s="467">
        <v>6173</v>
      </c>
      <c r="S23" s="467">
        <v>910</v>
      </c>
      <c r="T23" s="469" t="s">
        <v>60</v>
      </c>
      <c r="U23" s="469" t="s">
        <v>60</v>
      </c>
      <c r="V23" s="467">
        <v>175</v>
      </c>
      <c r="W23" s="467">
        <v>263</v>
      </c>
      <c r="X23" s="467">
        <v>12</v>
      </c>
      <c r="Y23" s="470">
        <v>32</v>
      </c>
    </row>
    <row r="24" spans="1:25" ht="13.5" customHeight="1">
      <c r="A24" s="652"/>
      <c r="B24" s="241" t="s">
        <v>454</v>
      </c>
      <c r="C24" s="300">
        <f>D24+Y24</f>
        <v>91466</v>
      </c>
      <c r="D24" s="468">
        <f t="shared" si="4"/>
        <v>91422</v>
      </c>
      <c r="E24" s="467">
        <f>121+4148</f>
        <v>4269</v>
      </c>
      <c r="F24" s="467">
        <f>116+1347</f>
        <v>1463</v>
      </c>
      <c r="G24" s="467">
        <v>25190</v>
      </c>
      <c r="H24" s="467">
        <v>2249</v>
      </c>
      <c r="I24" s="467">
        <v>14145</v>
      </c>
      <c r="J24" s="467">
        <v>1515</v>
      </c>
      <c r="K24" s="467">
        <v>4055</v>
      </c>
      <c r="L24" s="467">
        <v>565</v>
      </c>
      <c r="M24" s="467">
        <v>35</v>
      </c>
      <c r="N24" s="467">
        <v>5191</v>
      </c>
      <c r="O24" s="467">
        <v>884</v>
      </c>
      <c r="P24" s="467">
        <v>21834</v>
      </c>
      <c r="Q24" s="467">
        <v>1832</v>
      </c>
      <c r="R24" s="467">
        <v>5833</v>
      </c>
      <c r="S24" s="467">
        <v>790</v>
      </c>
      <c r="T24" s="469" t="s">
        <v>60</v>
      </c>
      <c r="U24" s="469" t="s">
        <v>60</v>
      </c>
      <c r="V24" s="467">
        <v>1017</v>
      </c>
      <c r="W24" s="467">
        <v>510</v>
      </c>
      <c r="X24" s="467">
        <v>45</v>
      </c>
      <c r="Y24" s="470">
        <v>44</v>
      </c>
    </row>
    <row r="25" spans="1:25" ht="13.5" customHeight="1">
      <c r="A25" s="651" t="s">
        <v>764</v>
      </c>
      <c r="B25" s="241" t="s">
        <v>452</v>
      </c>
      <c r="C25" s="300">
        <f>C26+C27</f>
        <v>169176</v>
      </c>
      <c r="D25" s="468">
        <f t="shared" si="4"/>
        <v>169092</v>
      </c>
      <c r="E25" s="467">
        <f>E26+E27</f>
        <v>10366</v>
      </c>
      <c r="F25" s="467">
        <f aca="true" t="shared" si="8" ref="F25:Y25">F26+F27</f>
        <v>2950</v>
      </c>
      <c r="G25" s="467">
        <f t="shared" si="8"/>
        <v>33340</v>
      </c>
      <c r="H25" s="467">
        <f t="shared" si="8"/>
        <v>2101</v>
      </c>
      <c r="I25" s="467">
        <f t="shared" si="8"/>
        <v>23503</v>
      </c>
      <c r="J25" s="467">
        <f t="shared" si="8"/>
        <v>1630</v>
      </c>
      <c r="K25" s="467">
        <f t="shared" si="8"/>
        <v>12724</v>
      </c>
      <c r="L25" s="467">
        <f t="shared" si="8"/>
        <v>659</v>
      </c>
      <c r="M25" s="467">
        <f t="shared" si="8"/>
        <v>79</v>
      </c>
      <c r="N25" s="467">
        <f t="shared" si="8"/>
        <v>13809</v>
      </c>
      <c r="O25" s="467">
        <f t="shared" si="8"/>
        <v>2038</v>
      </c>
      <c r="P25" s="467">
        <f t="shared" si="8"/>
        <v>43883</v>
      </c>
      <c r="Q25" s="467">
        <f t="shared" si="8"/>
        <v>3627</v>
      </c>
      <c r="R25" s="467">
        <f t="shared" si="8"/>
        <v>14517</v>
      </c>
      <c r="S25" s="467">
        <f t="shared" si="8"/>
        <v>2103</v>
      </c>
      <c r="T25" s="469" t="s">
        <v>60</v>
      </c>
      <c r="U25" s="469" t="s">
        <v>60</v>
      </c>
      <c r="V25" s="467">
        <f t="shared" si="8"/>
        <v>1116</v>
      </c>
      <c r="W25" s="467">
        <f t="shared" si="8"/>
        <v>595</v>
      </c>
      <c r="X25" s="467">
        <f t="shared" si="8"/>
        <v>52</v>
      </c>
      <c r="Y25" s="467">
        <f t="shared" si="8"/>
        <v>84</v>
      </c>
    </row>
    <row r="26" spans="1:25" ht="13.5" customHeight="1">
      <c r="A26" s="652"/>
      <c r="B26" s="241" t="s">
        <v>453</v>
      </c>
      <c r="C26" s="300">
        <f>D26+Y26</f>
        <v>83548</v>
      </c>
      <c r="D26" s="468">
        <f t="shared" si="4"/>
        <v>83523</v>
      </c>
      <c r="E26" s="467">
        <f>404+6257</f>
        <v>6661</v>
      </c>
      <c r="F26" s="467">
        <f>304+1447</f>
        <v>1751</v>
      </c>
      <c r="G26" s="467">
        <v>16601</v>
      </c>
      <c r="H26" s="467">
        <v>1069</v>
      </c>
      <c r="I26" s="467">
        <v>10296</v>
      </c>
      <c r="J26" s="467">
        <v>856</v>
      </c>
      <c r="K26" s="467">
        <v>6625</v>
      </c>
      <c r="L26" s="467">
        <v>458</v>
      </c>
      <c r="M26" s="467">
        <v>46</v>
      </c>
      <c r="N26" s="467">
        <v>6142</v>
      </c>
      <c r="O26" s="467">
        <v>1235</v>
      </c>
      <c r="P26" s="467">
        <v>20466</v>
      </c>
      <c r="Q26" s="467">
        <v>2395</v>
      </c>
      <c r="R26" s="467">
        <v>7371</v>
      </c>
      <c r="S26" s="467">
        <v>1074</v>
      </c>
      <c r="T26" s="469" t="s">
        <v>60</v>
      </c>
      <c r="U26" s="469" t="s">
        <v>60</v>
      </c>
      <c r="V26" s="467">
        <v>254</v>
      </c>
      <c r="W26" s="467">
        <v>214</v>
      </c>
      <c r="X26" s="467">
        <v>9</v>
      </c>
      <c r="Y26" s="470">
        <v>25</v>
      </c>
    </row>
    <row r="27" spans="1:25" ht="13.5" customHeight="1">
      <c r="A27" s="652"/>
      <c r="B27" s="241" t="s">
        <v>454</v>
      </c>
      <c r="C27" s="300">
        <f>D27+Y27</f>
        <v>85628</v>
      </c>
      <c r="D27" s="468">
        <f t="shared" si="4"/>
        <v>85569</v>
      </c>
      <c r="E27" s="467">
        <f>128+3577</f>
        <v>3705</v>
      </c>
      <c r="F27" s="467">
        <f>107+1092</f>
        <v>1199</v>
      </c>
      <c r="G27" s="467">
        <v>16739</v>
      </c>
      <c r="H27" s="467">
        <v>1032</v>
      </c>
      <c r="I27" s="467">
        <v>13207</v>
      </c>
      <c r="J27" s="467">
        <v>774</v>
      </c>
      <c r="K27" s="467">
        <v>6099</v>
      </c>
      <c r="L27" s="467">
        <v>201</v>
      </c>
      <c r="M27" s="467">
        <v>33</v>
      </c>
      <c r="N27" s="467">
        <v>7667</v>
      </c>
      <c r="O27" s="467">
        <v>803</v>
      </c>
      <c r="P27" s="467">
        <v>23417</v>
      </c>
      <c r="Q27" s="467">
        <v>1232</v>
      </c>
      <c r="R27" s="467">
        <v>7146</v>
      </c>
      <c r="S27" s="467">
        <v>1029</v>
      </c>
      <c r="T27" s="469" t="s">
        <v>60</v>
      </c>
      <c r="U27" s="469" t="s">
        <v>60</v>
      </c>
      <c r="V27" s="467">
        <v>862</v>
      </c>
      <c r="W27" s="467">
        <v>381</v>
      </c>
      <c r="X27" s="467">
        <v>43</v>
      </c>
      <c r="Y27" s="470">
        <v>59</v>
      </c>
    </row>
    <row r="28" spans="1:25" ht="13.5" customHeight="1">
      <c r="A28" s="651" t="s">
        <v>765</v>
      </c>
      <c r="B28" s="241" t="s">
        <v>452</v>
      </c>
      <c r="C28" s="300">
        <f>C29+C30</f>
        <v>168300</v>
      </c>
      <c r="D28" s="468">
        <f t="shared" si="4"/>
        <v>168156</v>
      </c>
      <c r="E28" s="467">
        <f aca="true" t="shared" si="9" ref="E28:S28">E29+E30</f>
        <v>8392</v>
      </c>
      <c r="F28" s="467">
        <f t="shared" si="9"/>
        <v>2128</v>
      </c>
      <c r="G28" s="467">
        <f t="shared" si="9"/>
        <v>22941</v>
      </c>
      <c r="H28" s="467">
        <f t="shared" si="9"/>
        <v>1558</v>
      </c>
      <c r="I28" s="467">
        <f t="shared" si="9"/>
        <v>17858</v>
      </c>
      <c r="J28" s="467">
        <f t="shared" si="9"/>
        <v>1190</v>
      </c>
      <c r="K28" s="467">
        <f t="shared" si="9"/>
        <v>13766</v>
      </c>
      <c r="L28" s="467">
        <f t="shared" si="9"/>
        <v>614</v>
      </c>
      <c r="M28" s="467">
        <f t="shared" si="9"/>
        <v>58</v>
      </c>
      <c r="N28" s="467">
        <f t="shared" si="9"/>
        <v>17294</v>
      </c>
      <c r="O28" s="467">
        <f t="shared" si="9"/>
        <v>2159</v>
      </c>
      <c r="P28" s="467">
        <f t="shared" si="9"/>
        <v>50829</v>
      </c>
      <c r="Q28" s="467">
        <f t="shared" si="9"/>
        <v>3604</v>
      </c>
      <c r="R28" s="467">
        <f t="shared" si="9"/>
        <v>20999</v>
      </c>
      <c r="S28" s="467">
        <f t="shared" si="9"/>
        <v>2291</v>
      </c>
      <c r="T28" s="469" t="s">
        <v>60</v>
      </c>
      <c r="U28" s="469" t="s">
        <v>60</v>
      </c>
      <c r="V28" s="467">
        <f>V29+V30</f>
        <v>1877</v>
      </c>
      <c r="W28" s="467">
        <f>W29+W30</f>
        <v>530</v>
      </c>
      <c r="X28" s="467">
        <f>X29+X30</f>
        <v>68</v>
      </c>
      <c r="Y28" s="467">
        <f>Y29+Y30</f>
        <v>144</v>
      </c>
    </row>
    <row r="29" spans="1:25" ht="13.5" customHeight="1">
      <c r="A29" s="652"/>
      <c r="B29" s="241" t="s">
        <v>453</v>
      </c>
      <c r="C29" s="300">
        <f>D29+Y29</f>
        <v>83381</v>
      </c>
      <c r="D29" s="468">
        <f>SUM(E29:X29)</f>
        <v>83323</v>
      </c>
      <c r="E29" s="467">
        <f>448+5114</f>
        <v>5562</v>
      </c>
      <c r="F29" s="467">
        <f>285+1009</f>
        <v>1294</v>
      </c>
      <c r="G29" s="467">
        <v>11443</v>
      </c>
      <c r="H29" s="467">
        <v>693</v>
      </c>
      <c r="I29" s="467">
        <v>8967</v>
      </c>
      <c r="J29" s="467">
        <v>581</v>
      </c>
      <c r="K29" s="467">
        <v>7723</v>
      </c>
      <c r="L29" s="467">
        <v>396</v>
      </c>
      <c r="M29" s="467">
        <v>43</v>
      </c>
      <c r="N29" s="467">
        <v>7674</v>
      </c>
      <c r="O29" s="467">
        <v>1209</v>
      </c>
      <c r="P29" s="467">
        <v>23469</v>
      </c>
      <c r="Q29" s="467">
        <v>2097</v>
      </c>
      <c r="R29" s="467">
        <v>10271</v>
      </c>
      <c r="S29" s="467">
        <v>1207</v>
      </c>
      <c r="T29" s="469" t="s">
        <v>60</v>
      </c>
      <c r="U29" s="469" t="s">
        <v>60</v>
      </c>
      <c r="V29" s="467">
        <v>475</v>
      </c>
      <c r="W29" s="467">
        <v>200</v>
      </c>
      <c r="X29" s="467">
        <v>19</v>
      </c>
      <c r="Y29" s="470">
        <v>58</v>
      </c>
    </row>
    <row r="30" spans="1:25" ht="13.5" customHeight="1">
      <c r="A30" s="652"/>
      <c r="B30" s="241" t="s">
        <v>454</v>
      </c>
      <c r="C30" s="300">
        <f>D30+Y30</f>
        <v>84919</v>
      </c>
      <c r="D30" s="468">
        <f>SUM(E30:X30)</f>
        <v>84833</v>
      </c>
      <c r="E30" s="467">
        <f>195+2635</f>
        <v>2830</v>
      </c>
      <c r="F30" s="467">
        <f>119+715</f>
        <v>834</v>
      </c>
      <c r="G30" s="467">
        <v>11498</v>
      </c>
      <c r="H30" s="467">
        <v>865</v>
      </c>
      <c r="I30" s="467">
        <v>8891</v>
      </c>
      <c r="J30" s="467">
        <v>609</v>
      </c>
      <c r="K30" s="467">
        <v>6043</v>
      </c>
      <c r="L30" s="467">
        <v>218</v>
      </c>
      <c r="M30" s="467">
        <v>15</v>
      </c>
      <c r="N30" s="467">
        <v>9620</v>
      </c>
      <c r="O30" s="467">
        <v>950</v>
      </c>
      <c r="P30" s="467">
        <v>27360</v>
      </c>
      <c r="Q30" s="467">
        <v>1507</v>
      </c>
      <c r="R30" s="467">
        <v>10728</v>
      </c>
      <c r="S30" s="467">
        <v>1084</v>
      </c>
      <c r="T30" s="469" t="s">
        <v>60</v>
      </c>
      <c r="U30" s="469" t="s">
        <v>60</v>
      </c>
      <c r="V30" s="467">
        <v>1402</v>
      </c>
      <c r="W30" s="467">
        <v>330</v>
      </c>
      <c r="X30" s="467">
        <v>49</v>
      </c>
      <c r="Y30" s="470">
        <v>86</v>
      </c>
    </row>
    <row r="31" spans="1:25" ht="13.5" customHeight="1">
      <c r="A31" s="651" t="s">
        <v>766</v>
      </c>
      <c r="B31" s="241" t="s">
        <v>452</v>
      </c>
      <c r="C31" s="300">
        <f>C32+C33</f>
        <v>167496</v>
      </c>
      <c r="D31" s="468">
        <f t="shared" si="4"/>
        <v>167304</v>
      </c>
      <c r="E31" s="467">
        <f>E32+E33</f>
        <v>5966</v>
      </c>
      <c r="F31" s="467">
        <f aca="true" t="shared" si="10" ref="F31:Y31">F32+F33</f>
        <v>1285</v>
      </c>
      <c r="G31" s="467">
        <f t="shared" si="10"/>
        <v>16954</v>
      </c>
      <c r="H31" s="467">
        <f t="shared" si="10"/>
        <v>1331</v>
      </c>
      <c r="I31" s="467">
        <f t="shared" si="10"/>
        <v>11304</v>
      </c>
      <c r="J31" s="467">
        <f t="shared" si="10"/>
        <v>942</v>
      </c>
      <c r="K31" s="467">
        <f t="shared" si="10"/>
        <v>13108</v>
      </c>
      <c r="L31" s="467">
        <f t="shared" si="10"/>
        <v>706</v>
      </c>
      <c r="M31" s="467">
        <f t="shared" si="10"/>
        <v>38</v>
      </c>
      <c r="N31" s="467">
        <f t="shared" si="10"/>
        <v>17058</v>
      </c>
      <c r="O31" s="467">
        <f t="shared" si="10"/>
        <v>2308</v>
      </c>
      <c r="P31" s="467">
        <f t="shared" si="10"/>
        <v>48645</v>
      </c>
      <c r="Q31" s="467">
        <f t="shared" si="10"/>
        <v>3803</v>
      </c>
      <c r="R31" s="467">
        <f t="shared" si="10"/>
        <v>34783</v>
      </c>
      <c r="S31" s="467">
        <f t="shared" si="10"/>
        <v>2581</v>
      </c>
      <c r="T31" s="467">
        <f t="shared" si="10"/>
        <v>4</v>
      </c>
      <c r="U31" s="467">
        <f>U33</f>
        <v>1</v>
      </c>
      <c r="V31" s="467">
        <f>V32+V33</f>
        <v>5720</v>
      </c>
      <c r="W31" s="467">
        <f t="shared" si="10"/>
        <v>688</v>
      </c>
      <c r="X31" s="467">
        <f t="shared" si="10"/>
        <v>79</v>
      </c>
      <c r="Y31" s="467">
        <f t="shared" si="10"/>
        <v>192</v>
      </c>
    </row>
    <row r="32" spans="1:25" ht="13.5" customHeight="1">
      <c r="A32" s="652"/>
      <c r="B32" s="241" t="s">
        <v>453</v>
      </c>
      <c r="C32" s="300">
        <f>D32+Y32</f>
        <v>82920</v>
      </c>
      <c r="D32" s="468">
        <f t="shared" si="4"/>
        <v>82848</v>
      </c>
      <c r="E32" s="467">
        <f>542+3731</f>
        <v>4273</v>
      </c>
      <c r="F32" s="467">
        <f>191+604</f>
        <v>795</v>
      </c>
      <c r="G32" s="467">
        <v>9071</v>
      </c>
      <c r="H32" s="467">
        <v>551</v>
      </c>
      <c r="I32" s="467">
        <v>6545</v>
      </c>
      <c r="J32" s="467">
        <v>414</v>
      </c>
      <c r="K32" s="467">
        <v>8054</v>
      </c>
      <c r="L32" s="467">
        <v>453</v>
      </c>
      <c r="M32" s="467">
        <v>31</v>
      </c>
      <c r="N32" s="467">
        <v>7840</v>
      </c>
      <c r="O32" s="467">
        <v>1253</v>
      </c>
      <c r="P32" s="467">
        <v>21791</v>
      </c>
      <c r="Q32" s="467">
        <v>2124</v>
      </c>
      <c r="R32" s="467">
        <v>16662</v>
      </c>
      <c r="S32" s="467">
        <v>1319</v>
      </c>
      <c r="T32" s="467">
        <v>1</v>
      </c>
      <c r="U32" s="469" t="s">
        <v>60</v>
      </c>
      <c r="V32" s="467">
        <v>1389</v>
      </c>
      <c r="W32" s="467">
        <v>256</v>
      </c>
      <c r="X32" s="467">
        <v>26</v>
      </c>
      <c r="Y32" s="470">
        <v>72</v>
      </c>
    </row>
    <row r="33" spans="1:25" ht="13.5" customHeight="1">
      <c r="A33" s="652"/>
      <c r="B33" s="241" t="s">
        <v>454</v>
      </c>
      <c r="C33" s="300">
        <f>D33+Y33</f>
        <v>84576</v>
      </c>
      <c r="D33" s="468">
        <f t="shared" si="4"/>
        <v>84456</v>
      </c>
      <c r="E33" s="467">
        <f>142+1551</f>
        <v>1693</v>
      </c>
      <c r="F33" s="467">
        <f>55+435</f>
        <v>490</v>
      </c>
      <c r="G33" s="467">
        <v>7883</v>
      </c>
      <c r="H33" s="467">
        <v>780</v>
      </c>
      <c r="I33" s="467">
        <v>4759</v>
      </c>
      <c r="J33" s="467">
        <v>528</v>
      </c>
      <c r="K33" s="467">
        <v>5054</v>
      </c>
      <c r="L33" s="467">
        <v>253</v>
      </c>
      <c r="M33" s="467">
        <v>7</v>
      </c>
      <c r="N33" s="467">
        <v>9218</v>
      </c>
      <c r="O33" s="467">
        <v>1055</v>
      </c>
      <c r="P33" s="467">
        <v>26854</v>
      </c>
      <c r="Q33" s="467">
        <v>1679</v>
      </c>
      <c r="R33" s="467">
        <v>18121</v>
      </c>
      <c r="S33" s="467">
        <v>1262</v>
      </c>
      <c r="T33" s="467">
        <v>3</v>
      </c>
      <c r="U33" s="467">
        <v>1</v>
      </c>
      <c r="V33" s="467">
        <v>4331</v>
      </c>
      <c r="W33" s="467">
        <v>432</v>
      </c>
      <c r="X33" s="467">
        <v>53</v>
      </c>
      <c r="Y33" s="470">
        <v>120</v>
      </c>
    </row>
    <row r="34" spans="1:25" ht="13.5" customHeight="1">
      <c r="A34" s="651" t="s">
        <v>767</v>
      </c>
      <c r="B34" s="241" t="s">
        <v>452</v>
      </c>
      <c r="C34" s="300">
        <f>C35+C36</f>
        <v>146921</v>
      </c>
      <c r="D34" s="468">
        <f t="shared" si="4"/>
        <v>146555</v>
      </c>
      <c r="E34" s="467">
        <f>E35+E36</f>
        <v>3538</v>
      </c>
      <c r="F34" s="467">
        <f>F35+F36</f>
        <v>602</v>
      </c>
      <c r="G34" s="467">
        <f aca="true" t="shared" si="11" ref="G34:Y34">G35+G36</f>
        <v>12138</v>
      </c>
      <c r="H34" s="467">
        <f t="shared" si="11"/>
        <v>955</v>
      </c>
      <c r="I34" s="467">
        <f t="shared" si="11"/>
        <v>6375</v>
      </c>
      <c r="J34" s="467">
        <f t="shared" si="11"/>
        <v>555</v>
      </c>
      <c r="K34" s="467">
        <f t="shared" si="11"/>
        <v>9737</v>
      </c>
      <c r="L34" s="467">
        <f t="shared" si="11"/>
        <v>570</v>
      </c>
      <c r="M34" s="467">
        <f t="shared" si="11"/>
        <v>29</v>
      </c>
      <c r="N34" s="467">
        <f t="shared" si="11"/>
        <v>13723</v>
      </c>
      <c r="O34" s="467">
        <f t="shared" si="11"/>
        <v>1792</v>
      </c>
      <c r="P34" s="467">
        <f t="shared" si="11"/>
        <v>36366</v>
      </c>
      <c r="Q34" s="467">
        <f t="shared" si="11"/>
        <v>3072</v>
      </c>
      <c r="R34" s="467">
        <f t="shared" si="11"/>
        <v>37874</v>
      </c>
      <c r="S34" s="467">
        <f t="shared" si="11"/>
        <v>2557</v>
      </c>
      <c r="T34" s="467">
        <f t="shared" si="11"/>
        <v>19</v>
      </c>
      <c r="U34" s="467">
        <f t="shared" si="11"/>
        <v>6</v>
      </c>
      <c r="V34" s="467">
        <f t="shared" si="11"/>
        <v>15419</v>
      </c>
      <c r="W34" s="467">
        <f t="shared" si="11"/>
        <v>1117</v>
      </c>
      <c r="X34" s="467">
        <f t="shared" si="11"/>
        <v>111</v>
      </c>
      <c r="Y34" s="467">
        <f t="shared" si="11"/>
        <v>366</v>
      </c>
    </row>
    <row r="35" spans="1:25" ht="13.5" customHeight="1">
      <c r="A35" s="652"/>
      <c r="B35" s="241" t="s">
        <v>453</v>
      </c>
      <c r="C35" s="300">
        <f>D35+Y35</f>
        <v>72386</v>
      </c>
      <c r="D35" s="468">
        <f t="shared" si="4"/>
        <v>72306</v>
      </c>
      <c r="E35" s="467">
        <f>570+2151</f>
        <v>2721</v>
      </c>
      <c r="F35" s="467">
        <f>88+320</f>
        <v>408</v>
      </c>
      <c r="G35" s="467">
        <v>7184</v>
      </c>
      <c r="H35" s="467">
        <v>502</v>
      </c>
      <c r="I35" s="467">
        <v>3970</v>
      </c>
      <c r="J35" s="467">
        <v>286</v>
      </c>
      <c r="K35" s="467">
        <v>6620</v>
      </c>
      <c r="L35" s="467">
        <v>417</v>
      </c>
      <c r="M35" s="467">
        <v>25</v>
      </c>
      <c r="N35" s="467">
        <v>7237</v>
      </c>
      <c r="O35" s="467">
        <v>1008</v>
      </c>
      <c r="P35" s="467">
        <v>17137</v>
      </c>
      <c r="Q35" s="467">
        <v>1701</v>
      </c>
      <c r="R35" s="467">
        <v>17722</v>
      </c>
      <c r="S35" s="467">
        <v>1218</v>
      </c>
      <c r="T35" s="467">
        <v>8</v>
      </c>
      <c r="U35" s="467">
        <v>3</v>
      </c>
      <c r="V35" s="467">
        <v>3809</v>
      </c>
      <c r="W35" s="467">
        <v>307</v>
      </c>
      <c r="X35" s="467">
        <v>23</v>
      </c>
      <c r="Y35" s="470">
        <v>80</v>
      </c>
    </row>
    <row r="36" spans="1:25" ht="13.5" customHeight="1">
      <c r="A36" s="652"/>
      <c r="B36" s="241" t="s">
        <v>454</v>
      </c>
      <c r="C36" s="300">
        <f>D36+Y36</f>
        <v>74535</v>
      </c>
      <c r="D36" s="468">
        <f t="shared" si="4"/>
        <v>74249</v>
      </c>
      <c r="E36" s="467">
        <f>84+733</f>
        <v>817</v>
      </c>
      <c r="F36" s="467">
        <f>26+168</f>
        <v>194</v>
      </c>
      <c r="G36" s="467">
        <v>4954</v>
      </c>
      <c r="H36" s="467">
        <v>453</v>
      </c>
      <c r="I36" s="467">
        <v>2405</v>
      </c>
      <c r="J36" s="467">
        <v>269</v>
      </c>
      <c r="K36" s="467">
        <v>3117</v>
      </c>
      <c r="L36" s="467">
        <v>153</v>
      </c>
      <c r="M36" s="467">
        <v>4</v>
      </c>
      <c r="N36" s="467">
        <v>6486</v>
      </c>
      <c r="O36" s="467">
        <v>784</v>
      </c>
      <c r="P36" s="467">
        <v>19229</v>
      </c>
      <c r="Q36" s="467">
        <v>1371</v>
      </c>
      <c r="R36" s="467">
        <v>20152</v>
      </c>
      <c r="S36" s="467">
        <v>1339</v>
      </c>
      <c r="T36" s="467">
        <v>11</v>
      </c>
      <c r="U36" s="467">
        <v>3</v>
      </c>
      <c r="V36" s="467">
        <v>11610</v>
      </c>
      <c r="W36" s="467">
        <v>810</v>
      </c>
      <c r="X36" s="467">
        <v>88</v>
      </c>
      <c r="Y36" s="470">
        <v>286</v>
      </c>
    </row>
    <row r="37" spans="1:25" ht="13.5" customHeight="1">
      <c r="A37" s="651" t="s">
        <v>768</v>
      </c>
      <c r="B37" s="241" t="s">
        <v>452</v>
      </c>
      <c r="C37" s="300">
        <f>C38+C39</f>
        <v>124050</v>
      </c>
      <c r="D37" s="468">
        <f t="shared" si="4"/>
        <v>123298</v>
      </c>
      <c r="E37" s="467">
        <f>E38+E39</f>
        <v>1988</v>
      </c>
      <c r="F37" s="467">
        <f aca="true" t="shared" si="12" ref="F37:Y37">F38+F39</f>
        <v>253</v>
      </c>
      <c r="G37" s="467">
        <f t="shared" si="12"/>
        <v>8977</v>
      </c>
      <c r="H37" s="467">
        <f t="shared" si="12"/>
        <v>645</v>
      </c>
      <c r="I37" s="467">
        <f t="shared" si="12"/>
        <v>4171</v>
      </c>
      <c r="J37" s="467">
        <f t="shared" si="12"/>
        <v>350</v>
      </c>
      <c r="K37" s="467">
        <f t="shared" si="12"/>
        <v>6935</v>
      </c>
      <c r="L37" s="467">
        <f t="shared" si="12"/>
        <v>316</v>
      </c>
      <c r="M37" s="467">
        <f t="shared" si="12"/>
        <v>20</v>
      </c>
      <c r="N37" s="467">
        <f t="shared" si="12"/>
        <v>10747</v>
      </c>
      <c r="O37" s="467">
        <f t="shared" si="12"/>
        <v>1173</v>
      </c>
      <c r="P37" s="467">
        <f t="shared" si="12"/>
        <v>23039</v>
      </c>
      <c r="Q37" s="467">
        <f t="shared" si="12"/>
        <v>1759</v>
      </c>
      <c r="R37" s="467">
        <f t="shared" si="12"/>
        <v>22290</v>
      </c>
      <c r="S37" s="467">
        <f t="shared" si="12"/>
        <v>2629</v>
      </c>
      <c r="T37" s="467">
        <f t="shared" si="12"/>
        <v>280</v>
      </c>
      <c r="U37" s="467">
        <f t="shared" si="12"/>
        <v>82</v>
      </c>
      <c r="V37" s="467">
        <f t="shared" si="12"/>
        <v>35305</v>
      </c>
      <c r="W37" s="467">
        <f t="shared" si="12"/>
        <v>2124</v>
      </c>
      <c r="X37" s="467">
        <f t="shared" si="12"/>
        <v>215</v>
      </c>
      <c r="Y37" s="467">
        <f t="shared" si="12"/>
        <v>752</v>
      </c>
    </row>
    <row r="38" spans="1:25" ht="13.5" customHeight="1">
      <c r="A38" s="652"/>
      <c r="B38" s="241" t="s">
        <v>453</v>
      </c>
      <c r="C38" s="300">
        <f>D38+Y38</f>
        <v>59958</v>
      </c>
      <c r="D38" s="468">
        <f t="shared" si="4"/>
        <v>59890</v>
      </c>
      <c r="E38" s="467">
        <f>363+1250</f>
        <v>1613</v>
      </c>
      <c r="F38" s="467">
        <f>32+137</f>
        <v>169</v>
      </c>
      <c r="G38" s="467">
        <v>5716</v>
      </c>
      <c r="H38" s="467">
        <v>356</v>
      </c>
      <c r="I38" s="467">
        <v>2825</v>
      </c>
      <c r="J38" s="467">
        <v>215</v>
      </c>
      <c r="K38" s="467">
        <v>4947</v>
      </c>
      <c r="L38" s="467">
        <v>221</v>
      </c>
      <c r="M38" s="467">
        <v>19</v>
      </c>
      <c r="N38" s="467">
        <v>6387</v>
      </c>
      <c r="O38" s="467">
        <v>717</v>
      </c>
      <c r="P38" s="467">
        <v>11460</v>
      </c>
      <c r="Q38" s="467">
        <v>997</v>
      </c>
      <c r="R38" s="467">
        <v>10499</v>
      </c>
      <c r="S38" s="467">
        <v>1387</v>
      </c>
      <c r="T38" s="467">
        <v>105</v>
      </c>
      <c r="U38" s="467">
        <v>42</v>
      </c>
      <c r="V38" s="467">
        <v>11668</v>
      </c>
      <c r="W38" s="467">
        <v>520</v>
      </c>
      <c r="X38" s="467">
        <v>27</v>
      </c>
      <c r="Y38" s="470">
        <v>68</v>
      </c>
    </row>
    <row r="39" spans="1:25" ht="13.5" customHeight="1">
      <c r="A39" s="652"/>
      <c r="B39" s="241" t="s">
        <v>454</v>
      </c>
      <c r="C39" s="300">
        <f>D39+Y39</f>
        <v>64092</v>
      </c>
      <c r="D39" s="468">
        <f t="shared" si="4"/>
        <v>63408</v>
      </c>
      <c r="E39" s="467">
        <f>30+345</f>
        <v>375</v>
      </c>
      <c r="F39" s="467">
        <f>6+78</f>
        <v>84</v>
      </c>
      <c r="G39" s="467">
        <v>3261</v>
      </c>
      <c r="H39" s="467">
        <v>289</v>
      </c>
      <c r="I39" s="467">
        <v>1346</v>
      </c>
      <c r="J39" s="467">
        <v>135</v>
      </c>
      <c r="K39" s="467">
        <v>1988</v>
      </c>
      <c r="L39" s="468">
        <v>95</v>
      </c>
      <c r="M39" s="467">
        <v>1</v>
      </c>
      <c r="N39" s="467">
        <v>4360</v>
      </c>
      <c r="O39" s="467">
        <v>456</v>
      </c>
      <c r="P39" s="467">
        <v>11579</v>
      </c>
      <c r="Q39" s="467">
        <v>762</v>
      </c>
      <c r="R39" s="467">
        <v>11791</v>
      </c>
      <c r="S39" s="467">
        <v>1242</v>
      </c>
      <c r="T39" s="467">
        <v>175</v>
      </c>
      <c r="U39" s="467">
        <v>40</v>
      </c>
      <c r="V39" s="468">
        <v>23637</v>
      </c>
      <c r="W39" s="467">
        <v>1604</v>
      </c>
      <c r="X39" s="467">
        <v>188</v>
      </c>
      <c r="Y39" s="470">
        <v>684</v>
      </c>
    </row>
    <row r="40" spans="1:25" ht="13.5" customHeight="1">
      <c r="A40" s="651" t="s">
        <v>769</v>
      </c>
      <c r="B40" s="241" t="s">
        <v>452</v>
      </c>
      <c r="C40" s="300">
        <f>C41+C42</f>
        <v>83098</v>
      </c>
      <c r="D40" s="468">
        <f t="shared" si="4"/>
        <v>81960</v>
      </c>
      <c r="E40" s="467">
        <f>E41+E42</f>
        <v>1127</v>
      </c>
      <c r="F40" s="467">
        <f aca="true" t="shared" si="13" ref="F40:Y40">F41+F42</f>
        <v>94</v>
      </c>
      <c r="G40" s="467">
        <f t="shared" si="13"/>
        <v>5933</v>
      </c>
      <c r="H40" s="467">
        <f t="shared" si="13"/>
        <v>332</v>
      </c>
      <c r="I40" s="467">
        <f t="shared" si="13"/>
        <v>2326</v>
      </c>
      <c r="J40" s="467">
        <f t="shared" si="13"/>
        <v>138</v>
      </c>
      <c r="K40" s="467">
        <f t="shared" si="13"/>
        <v>3102</v>
      </c>
      <c r="L40" s="467">
        <f t="shared" si="13"/>
        <v>139</v>
      </c>
      <c r="M40" s="467">
        <f t="shared" si="13"/>
        <v>10</v>
      </c>
      <c r="N40" s="467">
        <f t="shared" si="13"/>
        <v>5751</v>
      </c>
      <c r="O40" s="467">
        <f t="shared" si="13"/>
        <v>604</v>
      </c>
      <c r="P40" s="467">
        <f t="shared" si="13"/>
        <v>9530</v>
      </c>
      <c r="Q40" s="467">
        <f t="shared" si="13"/>
        <v>752</v>
      </c>
      <c r="R40" s="467">
        <f t="shared" si="13"/>
        <v>12221</v>
      </c>
      <c r="S40" s="467">
        <f t="shared" si="13"/>
        <v>2008</v>
      </c>
      <c r="T40" s="467">
        <f t="shared" si="13"/>
        <v>336</v>
      </c>
      <c r="U40" s="467">
        <f t="shared" si="13"/>
        <v>80</v>
      </c>
      <c r="V40" s="467">
        <f t="shared" si="13"/>
        <v>35259</v>
      </c>
      <c r="W40" s="467">
        <f t="shared" si="13"/>
        <v>1931</v>
      </c>
      <c r="X40" s="467">
        <f t="shared" si="13"/>
        <v>287</v>
      </c>
      <c r="Y40" s="467">
        <f t="shared" si="13"/>
        <v>1138</v>
      </c>
    </row>
    <row r="41" spans="1:25" ht="13.5" customHeight="1">
      <c r="A41" s="652"/>
      <c r="B41" s="241" t="s">
        <v>453</v>
      </c>
      <c r="C41" s="300">
        <f>D41+Y41</f>
        <v>39346</v>
      </c>
      <c r="D41" s="468">
        <f t="shared" si="4"/>
        <v>39250</v>
      </c>
      <c r="E41" s="467">
        <f>240+704</f>
        <v>944</v>
      </c>
      <c r="F41" s="467">
        <f>12+69</f>
        <v>81</v>
      </c>
      <c r="G41" s="467">
        <v>4066</v>
      </c>
      <c r="H41" s="467">
        <v>213</v>
      </c>
      <c r="I41" s="467">
        <v>1551</v>
      </c>
      <c r="J41" s="467">
        <v>85</v>
      </c>
      <c r="K41" s="467">
        <v>2264</v>
      </c>
      <c r="L41" s="468">
        <v>93</v>
      </c>
      <c r="M41" s="467">
        <v>6</v>
      </c>
      <c r="N41" s="467">
        <v>3567</v>
      </c>
      <c r="O41" s="467">
        <v>383</v>
      </c>
      <c r="P41" s="467">
        <v>5317</v>
      </c>
      <c r="Q41" s="467">
        <v>452</v>
      </c>
      <c r="R41" s="467">
        <v>5845</v>
      </c>
      <c r="S41" s="467">
        <v>1155</v>
      </c>
      <c r="T41" s="467">
        <v>156</v>
      </c>
      <c r="U41" s="467">
        <v>47</v>
      </c>
      <c r="V41" s="467">
        <v>12580</v>
      </c>
      <c r="W41" s="467">
        <v>397</v>
      </c>
      <c r="X41" s="467">
        <v>48</v>
      </c>
      <c r="Y41" s="470">
        <v>96</v>
      </c>
    </row>
    <row r="42" spans="1:25" ht="13.5" customHeight="1">
      <c r="A42" s="652"/>
      <c r="B42" s="241" t="s">
        <v>454</v>
      </c>
      <c r="C42" s="300">
        <f>D42+Y42</f>
        <v>43752</v>
      </c>
      <c r="D42" s="468">
        <f t="shared" si="4"/>
        <v>42710</v>
      </c>
      <c r="E42" s="467">
        <f>22+161</f>
        <v>183</v>
      </c>
      <c r="F42" s="467">
        <f>0+13</f>
        <v>13</v>
      </c>
      <c r="G42" s="467">
        <v>1867</v>
      </c>
      <c r="H42" s="467">
        <v>119</v>
      </c>
      <c r="I42" s="467">
        <v>775</v>
      </c>
      <c r="J42" s="467">
        <v>53</v>
      </c>
      <c r="K42" s="467">
        <v>838</v>
      </c>
      <c r="L42" s="467">
        <v>46</v>
      </c>
      <c r="M42" s="467">
        <v>4</v>
      </c>
      <c r="N42" s="467">
        <v>2184</v>
      </c>
      <c r="O42" s="467">
        <v>221</v>
      </c>
      <c r="P42" s="467">
        <v>4213</v>
      </c>
      <c r="Q42" s="467">
        <v>300</v>
      </c>
      <c r="R42" s="467">
        <v>6376</v>
      </c>
      <c r="S42" s="467">
        <v>853</v>
      </c>
      <c r="T42" s="467">
        <v>180</v>
      </c>
      <c r="U42" s="467">
        <v>33</v>
      </c>
      <c r="V42" s="467">
        <v>22679</v>
      </c>
      <c r="W42" s="467">
        <v>1534</v>
      </c>
      <c r="X42" s="467">
        <v>239</v>
      </c>
      <c r="Y42" s="470">
        <v>1042</v>
      </c>
    </row>
    <row r="43" spans="1:25" ht="13.5" customHeight="1">
      <c r="A43" s="653" t="s">
        <v>770</v>
      </c>
      <c r="B43" s="241" t="s">
        <v>452</v>
      </c>
      <c r="C43" s="300">
        <f>C44+C45</f>
        <v>168570</v>
      </c>
      <c r="D43" s="468">
        <f t="shared" si="4"/>
        <v>146373</v>
      </c>
      <c r="E43" s="467">
        <f>E44+E45</f>
        <v>800</v>
      </c>
      <c r="F43" s="467">
        <f aca="true" t="shared" si="14" ref="F43:Y43">F44+F45</f>
        <v>69</v>
      </c>
      <c r="G43" s="467">
        <f t="shared" si="14"/>
        <v>7038</v>
      </c>
      <c r="H43" s="467">
        <f t="shared" si="14"/>
        <v>369</v>
      </c>
      <c r="I43" s="467">
        <f t="shared" si="14"/>
        <v>3181</v>
      </c>
      <c r="J43" s="467">
        <f t="shared" si="14"/>
        <v>208</v>
      </c>
      <c r="K43" s="467">
        <f t="shared" si="14"/>
        <v>2874</v>
      </c>
      <c r="L43" s="467">
        <f t="shared" si="14"/>
        <v>56</v>
      </c>
      <c r="M43" s="467">
        <f>M45+M44</f>
        <v>4</v>
      </c>
      <c r="N43" s="467">
        <f t="shared" si="14"/>
        <v>9100</v>
      </c>
      <c r="O43" s="467">
        <f t="shared" si="14"/>
        <v>994</v>
      </c>
      <c r="P43" s="467">
        <f t="shared" si="14"/>
        <v>9064</v>
      </c>
      <c r="Q43" s="467">
        <f t="shared" si="14"/>
        <v>758</v>
      </c>
      <c r="R43" s="467">
        <f t="shared" si="14"/>
        <v>17884</v>
      </c>
      <c r="S43" s="467">
        <f t="shared" si="14"/>
        <v>2694</v>
      </c>
      <c r="T43" s="467">
        <f t="shared" si="14"/>
        <v>1343</v>
      </c>
      <c r="U43" s="467">
        <f t="shared" si="14"/>
        <v>245</v>
      </c>
      <c r="V43" s="467">
        <f t="shared" si="14"/>
        <v>75277</v>
      </c>
      <c r="W43" s="467">
        <f t="shared" si="14"/>
        <v>9659</v>
      </c>
      <c r="X43" s="467">
        <f t="shared" si="14"/>
        <v>4756</v>
      </c>
      <c r="Y43" s="467">
        <f t="shared" si="14"/>
        <v>22197</v>
      </c>
    </row>
    <row r="44" spans="1:25" ht="13.5" customHeight="1">
      <c r="A44" s="654"/>
      <c r="B44" s="241" t="s">
        <v>453</v>
      </c>
      <c r="C44" s="300">
        <f>D44+Y44</f>
        <v>84692</v>
      </c>
      <c r="D44" s="468">
        <f t="shared" si="4"/>
        <v>81920</v>
      </c>
      <c r="E44" s="467">
        <f>176+529</f>
        <v>705</v>
      </c>
      <c r="F44" s="467">
        <f>5+53</f>
        <v>58</v>
      </c>
      <c r="G44" s="467">
        <v>5990</v>
      </c>
      <c r="H44" s="467">
        <v>296</v>
      </c>
      <c r="I44" s="467">
        <v>2379</v>
      </c>
      <c r="J44" s="467">
        <v>169</v>
      </c>
      <c r="K44" s="467">
        <v>2427</v>
      </c>
      <c r="L44" s="467">
        <v>42</v>
      </c>
      <c r="M44" s="467">
        <v>2</v>
      </c>
      <c r="N44" s="467">
        <v>6692</v>
      </c>
      <c r="O44" s="467">
        <v>744</v>
      </c>
      <c r="P44" s="467">
        <v>7247</v>
      </c>
      <c r="Q44" s="467">
        <v>619</v>
      </c>
      <c r="R44" s="467">
        <v>10616</v>
      </c>
      <c r="S44" s="467">
        <v>1786</v>
      </c>
      <c r="T44" s="467">
        <v>1041</v>
      </c>
      <c r="U44" s="467">
        <v>202</v>
      </c>
      <c r="V44" s="467">
        <v>35123</v>
      </c>
      <c r="W44" s="467">
        <v>3862</v>
      </c>
      <c r="X44" s="467">
        <v>1920</v>
      </c>
      <c r="Y44" s="470">
        <v>2772</v>
      </c>
    </row>
    <row r="45" spans="1:25" ht="13.5" customHeight="1">
      <c r="A45" s="654"/>
      <c r="B45" s="241" t="s">
        <v>454</v>
      </c>
      <c r="C45" s="300">
        <f>D45+Y45</f>
        <v>83878</v>
      </c>
      <c r="D45" s="468">
        <f t="shared" si="4"/>
        <v>64453</v>
      </c>
      <c r="E45" s="467">
        <f>16+79</f>
        <v>95</v>
      </c>
      <c r="F45" s="467">
        <f>0+11</f>
        <v>11</v>
      </c>
      <c r="G45" s="467">
        <v>1048</v>
      </c>
      <c r="H45" s="467">
        <v>73</v>
      </c>
      <c r="I45" s="467">
        <v>802</v>
      </c>
      <c r="J45" s="467">
        <v>39</v>
      </c>
      <c r="K45" s="467">
        <v>447</v>
      </c>
      <c r="L45" s="467">
        <v>14</v>
      </c>
      <c r="M45" s="467">
        <v>2</v>
      </c>
      <c r="N45" s="467">
        <v>2408</v>
      </c>
      <c r="O45" s="467">
        <v>250</v>
      </c>
      <c r="P45" s="467">
        <v>1817</v>
      </c>
      <c r="Q45" s="467">
        <v>139</v>
      </c>
      <c r="R45" s="467">
        <v>7268</v>
      </c>
      <c r="S45" s="467">
        <v>908</v>
      </c>
      <c r="T45" s="467">
        <v>302</v>
      </c>
      <c r="U45" s="467">
        <v>43</v>
      </c>
      <c r="V45" s="467">
        <v>40154</v>
      </c>
      <c r="W45" s="467">
        <v>5797</v>
      </c>
      <c r="X45" s="467">
        <v>2836</v>
      </c>
      <c r="Y45" s="470">
        <v>19425</v>
      </c>
    </row>
    <row r="46" spans="1:25" ht="0.75" customHeight="1" thickBot="1">
      <c r="A46" s="280"/>
      <c r="B46" s="281"/>
      <c r="C46" s="282"/>
      <c r="D46" s="277"/>
      <c r="E46" s="277"/>
      <c r="F46" s="277"/>
      <c r="G46" s="277"/>
      <c r="H46" s="277"/>
      <c r="I46" s="277"/>
      <c r="J46" s="277"/>
      <c r="K46" s="277"/>
      <c r="L46" s="277"/>
      <c r="M46" s="471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83"/>
      <c r="Y46" s="283"/>
    </row>
    <row r="47" spans="1:23" s="303" customFormat="1" ht="12.75" customHeight="1">
      <c r="A47" s="301" t="s">
        <v>494</v>
      </c>
      <c r="B47" s="302"/>
      <c r="C47" s="302"/>
      <c r="D47" s="302"/>
      <c r="E47" s="302"/>
      <c r="F47" s="302"/>
      <c r="G47" s="302"/>
      <c r="M47" s="302" t="s">
        <v>760</v>
      </c>
      <c r="S47" s="304"/>
      <c r="T47" s="305"/>
      <c r="W47" s="306"/>
    </row>
  </sheetData>
  <sheetProtection/>
  <mergeCells count="51">
    <mergeCell ref="A22:A24"/>
    <mergeCell ref="A34:A36"/>
    <mergeCell ref="A13:A15"/>
    <mergeCell ref="A16:A18"/>
    <mergeCell ref="B5:B6"/>
    <mergeCell ref="C5:C6"/>
    <mergeCell ref="D5:D6"/>
    <mergeCell ref="A10:A12"/>
    <mergeCell ref="B7:B9"/>
    <mergeCell ref="R4:S4"/>
    <mergeCell ref="S7:S8"/>
    <mergeCell ref="I6:J6"/>
    <mergeCell ref="N5:O6"/>
    <mergeCell ref="P5:Q6"/>
    <mergeCell ref="R5:S6"/>
    <mergeCell ref="O7:O8"/>
    <mergeCell ref="P7:P8"/>
    <mergeCell ref="N7:N8"/>
    <mergeCell ref="A2:L2"/>
    <mergeCell ref="M2:Y2"/>
    <mergeCell ref="D4:L4"/>
    <mergeCell ref="A5:A6"/>
    <mergeCell ref="V5:W6"/>
    <mergeCell ref="Y4:Y7"/>
    <mergeCell ref="X5:X7"/>
    <mergeCell ref="Q7:Q8"/>
    <mergeCell ref="R7:R8"/>
    <mergeCell ref="W7:W8"/>
    <mergeCell ref="T5:U6"/>
    <mergeCell ref="V7:V8"/>
    <mergeCell ref="U7:U8"/>
    <mergeCell ref="T7:T8"/>
    <mergeCell ref="G5:H6"/>
    <mergeCell ref="E5:F6"/>
    <mergeCell ref="K7:L7"/>
    <mergeCell ref="F7:F8"/>
    <mergeCell ref="J7:J8"/>
    <mergeCell ref="E7:E8"/>
    <mergeCell ref="G7:G8"/>
    <mergeCell ref="H7:H8"/>
    <mergeCell ref="I7:I8"/>
    <mergeCell ref="A37:A39"/>
    <mergeCell ref="A40:A42"/>
    <mergeCell ref="A43:A45"/>
    <mergeCell ref="X8:X9"/>
    <mergeCell ref="A19:A21"/>
    <mergeCell ref="A25:A27"/>
    <mergeCell ref="A28:A30"/>
    <mergeCell ref="A31:A33"/>
    <mergeCell ref="A7:A8"/>
    <mergeCell ref="C7:C9"/>
  </mergeCells>
  <printOptions horizontalCentered="1"/>
  <pageMargins left="1.1811023622047245" right="1.1811023622047245" top="1.5748031496062993" bottom="1.4960629921259843" header="0.5118110236220472" footer="0.9055118110236221"/>
  <pageSetup firstPageNumber="4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="120" zoomScaleNormal="120" workbookViewId="0" topLeftCell="A1">
      <selection activeCell="A2" sqref="A2:L2"/>
    </sheetView>
  </sheetViews>
  <sheetFormatPr defaultColWidth="9.00390625" defaultRowHeight="21.75" customHeight="1"/>
  <cols>
    <col min="1" max="1" width="11.625" style="15" customWidth="1"/>
    <col min="2" max="2" width="5.875" style="15" customWidth="1"/>
    <col min="3" max="4" width="6.125" style="13" customWidth="1"/>
    <col min="5" max="12" width="5.625" style="13" customWidth="1"/>
    <col min="13" max="13" width="6.625" style="15" customWidth="1"/>
    <col min="14" max="23" width="5.625" style="13" customWidth="1"/>
    <col min="24" max="24" width="6.125" style="7" customWidth="1"/>
    <col min="25" max="25" width="5.625" style="7" customWidth="1"/>
    <col min="26" max="16384" width="10.625" style="7" customWidth="1"/>
  </cols>
  <sheetData>
    <row r="1" spans="1:25" s="15" customFormat="1" ht="18" customHeight="1">
      <c r="A1" s="118" t="s">
        <v>131</v>
      </c>
      <c r="B1" s="21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75" t="s">
        <v>142</v>
      </c>
    </row>
    <row r="2" spans="1:25" s="25" customFormat="1" ht="24" customHeight="1">
      <c r="A2" s="595" t="s">
        <v>774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596" t="s">
        <v>775</v>
      </c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</row>
    <row r="3" spans="1:25" ht="12.75" customHeight="1" thickBo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136" t="s">
        <v>132</v>
      </c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0" t="s">
        <v>257</v>
      </c>
    </row>
    <row r="4" spans="1:25" s="40" customFormat="1" ht="12.75" customHeight="1">
      <c r="A4" s="41"/>
      <c r="B4" s="42"/>
      <c r="C4" s="43"/>
      <c r="D4" s="685" t="s">
        <v>198</v>
      </c>
      <c r="E4" s="686"/>
      <c r="F4" s="686"/>
      <c r="G4" s="686"/>
      <c r="H4" s="686"/>
      <c r="I4" s="686"/>
      <c r="J4" s="686"/>
      <c r="K4" s="686"/>
      <c r="L4" s="686"/>
      <c r="M4" s="172"/>
      <c r="N4" s="44"/>
      <c r="O4" s="45"/>
      <c r="P4" s="45"/>
      <c r="Q4" s="45"/>
      <c r="R4" s="687" t="s">
        <v>126</v>
      </c>
      <c r="S4" s="687"/>
      <c r="T4" s="45"/>
      <c r="U4" s="46"/>
      <c r="V4" s="46"/>
      <c r="W4" s="45"/>
      <c r="X4" s="47"/>
      <c r="Y4" s="688" t="s">
        <v>199</v>
      </c>
    </row>
    <row r="5" spans="1:25" s="40" customFormat="1" ht="12.75" customHeight="1">
      <c r="A5" s="690" t="s">
        <v>495</v>
      </c>
      <c r="B5" s="692" t="s">
        <v>200</v>
      </c>
      <c r="C5" s="694" t="s">
        <v>201</v>
      </c>
      <c r="D5" s="695" t="s">
        <v>247</v>
      </c>
      <c r="E5" s="676" t="s">
        <v>204</v>
      </c>
      <c r="F5" s="677"/>
      <c r="G5" s="676" t="s">
        <v>496</v>
      </c>
      <c r="H5" s="696"/>
      <c r="I5" s="699" t="s">
        <v>80</v>
      </c>
      <c r="J5" s="700"/>
      <c r="K5" s="700"/>
      <c r="L5" s="700"/>
      <c r="M5" s="175"/>
      <c r="N5" s="676" t="s">
        <v>777</v>
      </c>
      <c r="O5" s="677"/>
      <c r="P5" s="676" t="s">
        <v>205</v>
      </c>
      <c r="Q5" s="677"/>
      <c r="R5" s="676" t="s">
        <v>776</v>
      </c>
      <c r="S5" s="677"/>
      <c r="T5" s="676" t="s">
        <v>206</v>
      </c>
      <c r="U5" s="677"/>
      <c r="V5" s="676" t="s">
        <v>497</v>
      </c>
      <c r="W5" s="677"/>
      <c r="X5" s="668" t="s">
        <v>202</v>
      </c>
      <c r="Y5" s="689"/>
    </row>
    <row r="6" spans="1:25" s="40" customFormat="1" ht="21.75" customHeight="1">
      <c r="A6" s="691"/>
      <c r="B6" s="693"/>
      <c r="C6" s="669"/>
      <c r="D6" s="669"/>
      <c r="E6" s="678"/>
      <c r="F6" s="679"/>
      <c r="G6" s="697"/>
      <c r="H6" s="698"/>
      <c r="I6" s="681" t="s">
        <v>81</v>
      </c>
      <c r="J6" s="682"/>
      <c r="K6" s="701" t="s">
        <v>203</v>
      </c>
      <c r="L6" s="702"/>
      <c r="M6" s="163" t="s">
        <v>79</v>
      </c>
      <c r="N6" s="678"/>
      <c r="O6" s="679"/>
      <c r="P6" s="678"/>
      <c r="Q6" s="679"/>
      <c r="R6" s="678"/>
      <c r="S6" s="679"/>
      <c r="T6" s="678"/>
      <c r="U6" s="679"/>
      <c r="V6" s="678"/>
      <c r="W6" s="679"/>
      <c r="X6" s="680"/>
      <c r="Y6" s="689"/>
    </row>
    <row r="7" spans="1:25" s="40" customFormat="1" ht="21.75" customHeight="1">
      <c r="A7" s="691" t="s">
        <v>498</v>
      </c>
      <c r="B7" s="49"/>
      <c r="C7" s="98"/>
      <c r="D7" s="48"/>
      <c r="E7" s="668" t="s">
        <v>128</v>
      </c>
      <c r="F7" s="668" t="s">
        <v>499</v>
      </c>
      <c r="G7" s="668" t="s">
        <v>128</v>
      </c>
      <c r="H7" s="668" t="s">
        <v>499</v>
      </c>
      <c r="I7" s="668" t="s">
        <v>128</v>
      </c>
      <c r="J7" s="668" t="s">
        <v>499</v>
      </c>
      <c r="K7" s="683" t="s">
        <v>781</v>
      </c>
      <c r="L7" s="684"/>
      <c r="M7" s="173" t="s">
        <v>500</v>
      </c>
      <c r="N7" s="668" t="s">
        <v>128</v>
      </c>
      <c r="O7" s="668" t="s">
        <v>499</v>
      </c>
      <c r="P7" s="668" t="s">
        <v>128</v>
      </c>
      <c r="Q7" s="668" t="s">
        <v>499</v>
      </c>
      <c r="R7" s="668" t="s">
        <v>128</v>
      </c>
      <c r="S7" s="668" t="s">
        <v>499</v>
      </c>
      <c r="T7" s="668" t="s">
        <v>128</v>
      </c>
      <c r="U7" s="668" t="s">
        <v>499</v>
      </c>
      <c r="V7" s="668" t="s">
        <v>128</v>
      </c>
      <c r="W7" s="668" t="s">
        <v>499</v>
      </c>
      <c r="X7" s="669"/>
      <c r="Y7" s="689"/>
    </row>
    <row r="8" spans="1:25" s="40" customFormat="1" ht="12.75" customHeight="1">
      <c r="A8" s="691"/>
      <c r="B8" s="49"/>
      <c r="C8" s="97"/>
      <c r="D8" s="48"/>
      <c r="E8" s="669"/>
      <c r="F8" s="669"/>
      <c r="G8" s="669"/>
      <c r="H8" s="669"/>
      <c r="I8" s="669"/>
      <c r="J8" s="669"/>
      <c r="K8" s="95" t="s">
        <v>128</v>
      </c>
      <c r="L8" s="95" t="s">
        <v>501</v>
      </c>
      <c r="M8" s="174" t="s">
        <v>501</v>
      </c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74" t="s">
        <v>502</v>
      </c>
      <c r="Y8" s="50"/>
    </row>
    <row r="9" spans="1:25" s="40" customFormat="1" ht="12.75" customHeight="1" thickBot="1">
      <c r="A9" s="76"/>
      <c r="B9" s="77" t="s">
        <v>503</v>
      </c>
      <c r="C9" s="99" t="s">
        <v>504</v>
      </c>
      <c r="D9" s="78" t="s">
        <v>505</v>
      </c>
      <c r="E9" s="73" t="s">
        <v>506</v>
      </c>
      <c r="F9" s="73" t="s">
        <v>507</v>
      </c>
      <c r="G9" s="73" t="s">
        <v>124</v>
      </c>
      <c r="H9" s="73" t="s">
        <v>507</v>
      </c>
      <c r="I9" s="73" t="s">
        <v>124</v>
      </c>
      <c r="J9" s="73" t="s">
        <v>507</v>
      </c>
      <c r="K9" s="74" t="s">
        <v>124</v>
      </c>
      <c r="L9" s="73" t="s">
        <v>507</v>
      </c>
      <c r="M9" s="73" t="s">
        <v>507</v>
      </c>
      <c r="N9" s="73" t="s">
        <v>124</v>
      </c>
      <c r="O9" s="73" t="s">
        <v>507</v>
      </c>
      <c r="P9" s="73" t="s">
        <v>124</v>
      </c>
      <c r="Q9" s="73" t="s">
        <v>507</v>
      </c>
      <c r="R9" s="73" t="s">
        <v>124</v>
      </c>
      <c r="S9" s="73" t="s">
        <v>507</v>
      </c>
      <c r="T9" s="73" t="s">
        <v>124</v>
      </c>
      <c r="U9" s="73" t="s">
        <v>507</v>
      </c>
      <c r="V9" s="73" t="s">
        <v>124</v>
      </c>
      <c r="W9" s="73" t="s">
        <v>507</v>
      </c>
      <c r="X9" s="675"/>
      <c r="Y9" s="79" t="s">
        <v>126</v>
      </c>
    </row>
    <row r="10" spans="1:25" ht="1.5" customHeight="1">
      <c r="A10" s="35"/>
      <c r="B10" s="34"/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4"/>
    </row>
    <row r="11" spans="1:25" s="40" customFormat="1" ht="11.25" customHeight="1">
      <c r="A11" s="672" t="s">
        <v>508</v>
      </c>
      <c r="B11" s="96" t="s">
        <v>509</v>
      </c>
      <c r="C11" s="307">
        <f aca="true" t="shared" si="0" ref="C11:Y11">C14+C17+C20+C23+C29+C26+C32+C35+C38+C41+C44+C47+C50</f>
        <v>1662647</v>
      </c>
      <c r="D11" s="475">
        <f t="shared" si="0"/>
        <v>1637648</v>
      </c>
      <c r="E11" s="475">
        <f t="shared" si="0"/>
        <v>55310</v>
      </c>
      <c r="F11" s="475">
        <f t="shared" si="0"/>
        <v>20320</v>
      </c>
      <c r="G11" s="476">
        <f t="shared" si="0"/>
        <v>249818</v>
      </c>
      <c r="H11" s="476">
        <f t="shared" si="0"/>
        <v>109741</v>
      </c>
      <c r="I11" s="476">
        <f t="shared" si="0"/>
        <v>103482</v>
      </c>
      <c r="J11" s="476">
        <f t="shared" si="0"/>
        <v>14714</v>
      </c>
      <c r="K11" s="476">
        <f t="shared" si="0"/>
        <v>74871</v>
      </c>
      <c r="L11" s="476">
        <f t="shared" si="0"/>
        <v>4913</v>
      </c>
      <c r="M11" s="476">
        <f t="shared" si="0"/>
        <v>7310</v>
      </c>
      <c r="N11" s="476">
        <f t="shared" si="0"/>
        <v>116798</v>
      </c>
      <c r="O11" s="476">
        <f t="shared" si="0"/>
        <v>60784</v>
      </c>
      <c r="P11" s="476">
        <f t="shared" si="0"/>
        <v>318675</v>
      </c>
      <c r="Q11" s="476">
        <f t="shared" si="0"/>
        <v>81916</v>
      </c>
      <c r="R11" s="476">
        <f t="shared" si="0"/>
        <v>188823</v>
      </c>
      <c r="S11" s="476">
        <f t="shared" si="0"/>
        <v>29961</v>
      </c>
      <c r="T11" s="476">
        <f t="shared" si="0"/>
        <v>1982</v>
      </c>
      <c r="U11" s="476">
        <f t="shared" si="0"/>
        <v>414</v>
      </c>
      <c r="V11" s="476">
        <f t="shared" si="0"/>
        <v>171967</v>
      </c>
      <c r="W11" s="476">
        <f t="shared" si="0"/>
        <v>20179</v>
      </c>
      <c r="X11" s="475">
        <f t="shared" si="0"/>
        <v>5670</v>
      </c>
      <c r="Y11" s="475">
        <f t="shared" si="0"/>
        <v>24999</v>
      </c>
    </row>
    <row r="12" spans="1:25" s="40" customFormat="1" ht="11.25" customHeight="1">
      <c r="A12" s="673"/>
      <c r="B12" s="96" t="s">
        <v>123</v>
      </c>
      <c r="C12" s="307">
        <f aca="true" t="shared" si="1" ref="C12:Y12">C15+C18+C21+C24+C30+C27+C33+C36+C39+C42+C45+C48+C51</f>
        <v>830411</v>
      </c>
      <c r="D12" s="475">
        <f t="shared" si="1"/>
        <v>827183</v>
      </c>
      <c r="E12" s="475">
        <f t="shared" si="1"/>
        <v>37302</v>
      </c>
      <c r="F12" s="475">
        <f t="shared" si="1"/>
        <v>12335</v>
      </c>
      <c r="G12" s="476">
        <f t="shared" si="1"/>
        <v>125208</v>
      </c>
      <c r="H12" s="476">
        <f t="shared" si="1"/>
        <v>58326</v>
      </c>
      <c r="I12" s="476">
        <f t="shared" si="1"/>
        <v>50751</v>
      </c>
      <c r="J12" s="476">
        <f t="shared" si="1"/>
        <v>8254</v>
      </c>
      <c r="K12" s="476">
        <f t="shared" si="1"/>
        <v>43585</v>
      </c>
      <c r="L12" s="476">
        <f t="shared" si="1"/>
        <v>3107</v>
      </c>
      <c r="M12" s="476">
        <f t="shared" si="1"/>
        <v>1593</v>
      </c>
      <c r="N12" s="476">
        <f t="shared" si="1"/>
        <v>60170</v>
      </c>
      <c r="O12" s="476">
        <f t="shared" si="1"/>
        <v>32690</v>
      </c>
      <c r="P12" s="476">
        <f t="shared" si="1"/>
        <v>159180</v>
      </c>
      <c r="Q12" s="476">
        <f t="shared" si="1"/>
        <v>47917</v>
      </c>
      <c r="R12" s="476">
        <f t="shared" si="1"/>
        <v>94083</v>
      </c>
      <c r="S12" s="476">
        <f t="shared" si="1"/>
        <v>15976</v>
      </c>
      <c r="T12" s="476">
        <f t="shared" si="1"/>
        <v>1311</v>
      </c>
      <c r="U12" s="476">
        <f t="shared" si="1"/>
        <v>294</v>
      </c>
      <c r="V12" s="476">
        <f t="shared" si="1"/>
        <v>65637</v>
      </c>
      <c r="W12" s="476">
        <f t="shared" si="1"/>
        <v>7368</v>
      </c>
      <c r="X12" s="475">
        <f t="shared" si="1"/>
        <v>2096</v>
      </c>
      <c r="Y12" s="475">
        <f t="shared" si="1"/>
        <v>3228</v>
      </c>
    </row>
    <row r="13" spans="1:25" s="40" customFormat="1" ht="11.25" customHeight="1">
      <c r="A13" s="673"/>
      <c r="B13" s="96" t="s">
        <v>510</v>
      </c>
      <c r="C13" s="307">
        <f aca="true" t="shared" si="2" ref="C13:T13">C16+C19+C22+C25+C31+C28+C34+C37+C40+C43+C46+C49+C52</f>
        <v>832236</v>
      </c>
      <c r="D13" s="475">
        <f t="shared" si="2"/>
        <v>810465</v>
      </c>
      <c r="E13" s="475">
        <f t="shared" si="2"/>
        <v>18008</v>
      </c>
      <c r="F13" s="475">
        <f t="shared" si="2"/>
        <v>7985</v>
      </c>
      <c r="G13" s="476">
        <f t="shared" si="2"/>
        <v>124610</v>
      </c>
      <c r="H13" s="476">
        <f t="shared" si="2"/>
        <v>51415</v>
      </c>
      <c r="I13" s="476">
        <f t="shared" si="2"/>
        <v>52731</v>
      </c>
      <c r="J13" s="476">
        <f t="shared" si="2"/>
        <v>6460</v>
      </c>
      <c r="K13" s="476">
        <f t="shared" si="2"/>
        <v>31286</v>
      </c>
      <c r="L13" s="476">
        <f t="shared" si="2"/>
        <v>1806</v>
      </c>
      <c r="M13" s="476">
        <f t="shared" si="2"/>
        <v>5717</v>
      </c>
      <c r="N13" s="476">
        <f t="shared" si="2"/>
        <v>56628</v>
      </c>
      <c r="O13" s="476">
        <f t="shared" si="2"/>
        <v>28094</v>
      </c>
      <c r="P13" s="476">
        <f t="shared" si="2"/>
        <v>159495</v>
      </c>
      <c r="Q13" s="476">
        <f t="shared" si="2"/>
        <v>33999</v>
      </c>
      <c r="R13" s="476">
        <f t="shared" si="2"/>
        <v>94740</v>
      </c>
      <c r="S13" s="476">
        <f t="shared" si="2"/>
        <v>13985</v>
      </c>
      <c r="T13" s="476">
        <f t="shared" si="2"/>
        <v>671</v>
      </c>
      <c r="U13" s="476">
        <f>U16+U19+U22+U25+U31+U28+U34+U37+U40+U43+U52</f>
        <v>120</v>
      </c>
      <c r="V13" s="476">
        <f>V16+V19+V22+V25+V31+V28+V34+V37+V40+V43+V46+V49+V52</f>
        <v>106330</v>
      </c>
      <c r="W13" s="476">
        <f>W16+W19+W22+W25+W31+W28+W34+W37+W40+W43+W46+W49+W52</f>
        <v>12811</v>
      </c>
      <c r="X13" s="475">
        <f>X16+X19+X22+X25+X31+X28+X34+X37+X40+X43+X46+X49+X52</f>
        <v>3574</v>
      </c>
      <c r="Y13" s="475">
        <f>Y16+Y19+Y22+Y25+Y31+Y28+Y34+Y37+Y40+Y43+Y46+Y49+Y52</f>
        <v>21771</v>
      </c>
    </row>
    <row r="14" spans="1:25" s="40" customFormat="1" ht="11.25" customHeight="1">
      <c r="A14" s="670" t="s">
        <v>511</v>
      </c>
      <c r="B14" s="96" t="s">
        <v>509</v>
      </c>
      <c r="C14" s="307">
        <f>D14+Y14</f>
        <v>334246</v>
      </c>
      <c r="D14" s="475">
        <f>SUM(E14:X14)</f>
        <v>330879</v>
      </c>
      <c r="E14" s="475">
        <f>SUM(E15:E16)</f>
        <v>14850</v>
      </c>
      <c r="F14" s="475">
        <f aca="true" t="shared" si="3" ref="F14:Y14">SUM(F15:F16)</f>
        <v>5107</v>
      </c>
      <c r="G14" s="476">
        <f t="shared" si="3"/>
        <v>60047</v>
      </c>
      <c r="H14" s="476">
        <f t="shared" si="3"/>
        <v>22211</v>
      </c>
      <c r="I14" s="476">
        <f t="shared" si="3"/>
        <v>23231</v>
      </c>
      <c r="J14" s="476">
        <f t="shared" si="3"/>
        <v>2811</v>
      </c>
      <c r="K14" s="476">
        <f t="shared" si="3"/>
        <v>18952</v>
      </c>
      <c r="L14" s="476">
        <f t="shared" si="3"/>
        <v>1007</v>
      </c>
      <c r="M14" s="476">
        <f t="shared" si="3"/>
        <v>1542</v>
      </c>
      <c r="N14" s="476">
        <f t="shared" si="3"/>
        <v>23320</v>
      </c>
      <c r="O14" s="476">
        <f t="shared" si="3"/>
        <v>13486</v>
      </c>
      <c r="P14" s="476">
        <f t="shared" si="3"/>
        <v>59782</v>
      </c>
      <c r="Q14" s="476">
        <f t="shared" si="3"/>
        <v>14230</v>
      </c>
      <c r="R14" s="476">
        <f t="shared" si="3"/>
        <v>31612</v>
      </c>
      <c r="S14" s="476">
        <f t="shared" si="3"/>
        <v>5127</v>
      </c>
      <c r="T14" s="476">
        <f t="shared" si="3"/>
        <v>290</v>
      </c>
      <c r="U14" s="476">
        <f t="shared" si="3"/>
        <v>66</v>
      </c>
      <c r="V14" s="476">
        <f t="shared" si="3"/>
        <v>28445</v>
      </c>
      <c r="W14" s="476">
        <f t="shared" si="3"/>
        <v>3823</v>
      </c>
      <c r="X14" s="475">
        <f t="shared" si="3"/>
        <v>940</v>
      </c>
      <c r="Y14" s="475">
        <f t="shared" si="3"/>
        <v>3367</v>
      </c>
    </row>
    <row r="15" spans="1:25" s="40" customFormat="1" ht="11.25" customHeight="1">
      <c r="A15" s="671"/>
      <c r="B15" s="96" t="s">
        <v>123</v>
      </c>
      <c r="C15" s="307">
        <f aca="true" t="shared" si="4" ref="C15:C52">D15+Y15</f>
        <v>161292</v>
      </c>
      <c r="D15" s="475">
        <f aca="true" t="shared" si="5" ref="D15:D52">SUM(E15:X15)</f>
        <v>160842</v>
      </c>
      <c r="E15" s="475">
        <f>654+9168</f>
        <v>9822</v>
      </c>
      <c r="F15" s="475">
        <f>320+2802</f>
        <v>3122</v>
      </c>
      <c r="G15" s="475">
        <v>29677</v>
      </c>
      <c r="H15" s="475">
        <v>11704</v>
      </c>
      <c r="I15" s="475">
        <v>10721</v>
      </c>
      <c r="J15" s="475">
        <v>1462</v>
      </c>
      <c r="K15" s="475">
        <v>10345</v>
      </c>
      <c r="L15" s="475">
        <v>605</v>
      </c>
      <c r="M15" s="475">
        <v>424</v>
      </c>
      <c r="N15" s="477">
        <v>11224</v>
      </c>
      <c r="O15" s="475">
        <v>7115</v>
      </c>
      <c r="P15" s="475">
        <v>27009</v>
      </c>
      <c r="Q15" s="475">
        <v>8173</v>
      </c>
      <c r="R15" s="475">
        <v>15104</v>
      </c>
      <c r="S15" s="475">
        <v>2629</v>
      </c>
      <c r="T15" s="475">
        <v>159</v>
      </c>
      <c r="U15" s="475">
        <v>32</v>
      </c>
      <c r="V15" s="475">
        <v>9777</v>
      </c>
      <c r="W15" s="475">
        <v>1440</v>
      </c>
      <c r="X15" s="475">
        <v>298</v>
      </c>
      <c r="Y15" s="478">
        <v>450</v>
      </c>
    </row>
    <row r="16" spans="1:25" s="40" customFormat="1" ht="11.25" customHeight="1">
      <c r="A16" s="671"/>
      <c r="B16" s="96" t="s">
        <v>510</v>
      </c>
      <c r="C16" s="307">
        <f t="shared" si="4"/>
        <v>172954</v>
      </c>
      <c r="D16" s="475">
        <f t="shared" si="5"/>
        <v>170037</v>
      </c>
      <c r="E16" s="475">
        <f>174+4854</f>
        <v>5028</v>
      </c>
      <c r="F16" s="475">
        <f>109+1876</f>
        <v>1985</v>
      </c>
      <c r="G16" s="475">
        <v>30370</v>
      </c>
      <c r="H16" s="475">
        <v>10507</v>
      </c>
      <c r="I16" s="475">
        <v>12510</v>
      </c>
      <c r="J16" s="475">
        <v>1349</v>
      </c>
      <c r="K16" s="475">
        <v>8607</v>
      </c>
      <c r="L16" s="475">
        <v>402</v>
      </c>
      <c r="M16" s="475">
        <v>1118</v>
      </c>
      <c r="N16" s="475">
        <v>12096</v>
      </c>
      <c r="O16" s="477">
        <v>6371</v>
      </c>
      <c r="P16" s="477">
        <v>32773</v>
      </c>
      <c r="Q16" s="477">
        <v>6057</v>
      </c>
      <c r="R16" s="475">
        <v>16508</v>
      </c>
      <c r="S16" s="475">
        <v>2498</v>
      </c>
      <c r="T16" s="475">
        <v>131</v>
      </c>
      <c r="U16" s="475">
        <v>34</v>
      </c>
      <c r="V16" s="475">
        <v>18668</v>
      </c>
      <c r="W16" s="475">
        <v>2383</v>
      </c>
      <c r="X16" s="475">
        <v>642</v>
      </c>
      <c r="Y16" s="478">
        <v>2917</v>
      </c>
    </row>
    <row r="17" spans="1:25" s="40" customFormat="1" ht="11.25" customHeight="1">
      <c r="A17" s="670" t="s">
        <v>512</v>
      </c>
      <c r="B17" s="96" t="s">
        <v>509</v>
      </c>
      <c r="C17" s="307">
        <f>D17+Y17</f>
        <v>309068</v>
      </c>
      <c r="D17" s="475">
        <f t="shared" si="5"/>
        <v>305455</v>
      </c>
      <c r="E17" s="475">
        <f>SUM(E18:E19)</f>
        <v>12213</v>
      </c>
      <c r="F17" s="475">
        <f>SUM(F18:F19)</f>
        <v>4298</v>
      </c>
      <c r="G17" s="475">
        <f>SUM(G18:G19)</f>
        <v>50656</v>
      </c>
      <c r="H17" s="475">
        <f aca="true" t="shared" si="6" ref="H17:Y17">SUM(H18:H19)</f>
        <v>20895</v>
      </c>
      <c r="I17" s="475">
        <f t="shared" si="6"/>
        <v>21744</v>
      </c>
      <c r="J17" s="475">
        <f t="shared" si="6"/>
        <v>2630</v>
      </c>
      <c r="K17" s="475">
        <f t="shared" si="6"/>
        <v>14267</v>
      </c>
      <c r="L17" s="475">
        <f t="shared" si="6"/>
        <v>879</v>
      </c>
      <c r="M17" s="475">
        <f t="shared" si="6"/>
        <v>1162</v>
      </c>
      <c r="N17" s="475">
        <f t="shared" si="6"/>
        <v>22766</v>
      </c>
      <c r="O17" s="475">
        <f t="shared" si="6"/>
        <v>11970</v>
      </c>
      <c r="P17" s="475">
        <f t="shared" si="6"/>
        <v>59384</v>
      </c>
      <c r="Q17" s="475">
        <f t="shared" si="6"/>
        <v>13269</v>
      </c>
      <c r="R17" s="475">
        <f t="shared" si="6"/>
        <v>30478</v>
      </c>
      <c r="S17" s="475">
        <f t="shared" si="6"/>
        <v>5094</v>
      </c>
      <c r="T17" s="475">
        <f t="shared" si="6"/>
        <v>434</v>
      </c>
      <c r="U17" s="475">
        <f t="shared" si="6"/>
        <v>88</v>
      </c>
      <c r="V17" s="475">
        <f t="shared" si="6"/>
        <v>29249</v>
      </c>
      <c r="W17" s="475">
        <f t="shared" si="6"/>
        <v>2990</v>
      </c>
      <c r="X17" s="475">
        <f t="shared" si="6"/>
        <v>989</v>
      </c>
      <c r="Y17" s="475">
        <f t="shared" si="6"/>
        <v>3613</v>
      </c>
    </row>
    <row r="18" spans="1:25" s="40" customFormat="1" ht="11.25" customHeight="1">
      <c r="A18" s="671"/>
      <c r="B18" s="96" t="s">
        <v>123</v>
      </c>
      <c r="C18" s="307">
        <f t="shared" si="4"/>
        <v>152563</v>
      </c>
      <c r="D18" s="475">
        <f t="shared" si="5"/>
        <v>152169</v>
      </c>
      <c r="E18" s="475">
        <f>848+7340</f>
        <v>8188</v>
      </c>
      <c r="F18" s="475">
        <f>412+2192</f>
        <v>2604</v>
      </c>
      <c r="G18" s="475">
        <v>25770</v>
      </c>
      <c r="H18" s="475">
        <v>11283</v>
      </c>
      <c r="I18" s="475">
        <v>10837</v>
      </c>
      <c r="J18" s="475">
        <v>1482</v>
      </c>
      <c r="K18" s="475">
        <v>8539</v>
      </c>
      <c r="L18" s="475">
        <v>557</v>
      </c>
      <c r="M18" s="475">
        <v>269</v>
      </c>
      <c r="N18" s="475">
        <v>11822</v>
      </c>
      <c r="O18" s="477">
        <v>6583</v>
      </c>
      <c r="P18" s="477">
        <v>28525</v>
      </c>
      <c r="Q18" s="477">
        <v>7558</v>
      </c>
      <c r="R18" s="475">
        <v>13908</v>
      </c>
      <c r="S18" s="475">
        <v>2657</v>
      </c>
      <c r="T18" s="475">
        <v>256</v>
      </c>
      <c r="U18" s="475">
        <v>62</v>
      </c>
      <c r="V18" s="475">
        <v>9941</v>
      </c>
      <c r="W18" s="475">
        <v>997</v>
      </c>
      <c r="X18" s="475">
        <v>331</v>
      </c>
      <c r="Y18" s="478">
        <v>394</v>
      </c>
    </row>
    <row r="19" spans="1:25" s="40" customFormat="1" ht="11.25" customHeight="1">
      <c r="A19" s="671"/>
      <c r="B19" s="96" t="s">
        <v>510</v>
      </c>
      <c r="C19" s="307">
        <f t="shared" si="4"/>
        <v>156505</v>
      </c>
      <c r="D19" s="475">
        <f t="shared" si="5"/>
        <v>153286</v>
      </c>
      <c r="E19" s="475">
        <f>211+3814</f>
        <v>4025</v>
      </c>
      <c r="F19" s="475">
        <f>134+1560</f>
        <v>1694</v>
      </c>
      <c r="G19" s="475">
        <v>24886</v>
      </c>
      <c r="H19" s="475">
        <v>9612</v>
      </c>
      <c r="I19" s="475">
        <v>10907</v>
      </c>
      <c r="J19" s="475">
        <v>1148</v>
      </c>
      <c r="K19" s="475">
        <v>5728</v>
      </c>
      <c r="L19" s="475">
        <v>322</v>
      </c>
      <c r="M19" s="475">
        <v>893</v>
      </c>
      <c r="N19" s="475">
        <v>10944</v>
      </c>
      <c r="O19" s="475">
        <v>5387</v>
      </c>
      <c r="P19" s="475">
        <v>30859</v>
      </c>
      <c r="Q19" s="475">
        <v>5711</v>
      </c>
      <c r="R19" s="475">
        <v>16570</v>
      </c>
      <c r="S19" s="475">
        <v>2437</v>
      </c>
      <c r="T19" s="475">
        <v>178</v>
      </c>
      <c r="U19" s="475">
        <v>26</v>
      </c>
      <c r="V19" s="475">
        <v>19308</v>
      </c>
      <c r="W19" s="475">
        <v>1993</v>
      </c>
      <c r="X19" s="475">
        <v>658</v>
      </c>
      <c r="Y19" s="478">
        <v>3219</v>
      </c>
    </row>
    <row r="20" spans="1:25" s="40" customFormat="1" ht="11.25" customHeight="1">
      <c r="A20" s="670" t="s">
        <v>513</v>
      </c>
      <c r="B20" s="96" t="s">
        <v>509</v>
      </c>
      <c r="C20" s="307">
        <f t="shared" si="4"/>
        <v>172465</v>
      </c>
      <c r="D20" s="475">
        <f t="shared" si="5"/>
        <v>170854</v>
      </c>
      <c r="E20" s="475">
        <f>SUM(E21:E22)</f>
        <v>5456</v>
      </c>
      <c r="F20" s="475">
        <f aca="true" t="shared" si="7" ref="F20:Y20">SUM(F21:F22)</f>
        <v>2096</v>
      </c>
      <c r="G20" s="475">
        <f t="shared" si="7"/>
        <v>26704</v>
      </c>
      <c r="H20" s="475">
        <f t="shared" si="7"/>
        <v>12026</v>
      </c>
      <c r="I20" s="475">
        <f t="shared" si="7"/>
        <v>10739</v>
      </c>
      <c r="J20" s="475">
        <f t="shared" si="7"/>
        <v>1640</v>
      </c>
      <c r="K20" s="475">
        <f t="shared" si="7"/>
        <v>7507</v>
      </c>
      <c r="L20" s="475">
        <f t="shared" si="7"/>
        <v>586</v>
      </c>
      <c r="M20" s="475">
        <f t="shared" si="7"/>
        <v>695</v>
      </c>
      <c r="N20" s="475">
        <f t="shared" si="7"/>
        <v>12724</v>
      </c>
      <c r="O20" s="475">
        <f t="shared" si="7"/>
        <v>6326</v>
      </c>
      <c r="P20" s="475">
        <f t="shared" si="7"/>
        <v>34793</v>
      </c>
      <c r="Q20" s="475">
        <f t="shared" si="7"/>
        <v>8568</v>
      </c>
      <c r="R20" s="475">
        <f t="shared" si="7"/>
        <v>18345</v>
      </c>
      <c r="S20" s="475">
        <f t="shared" si="7"/>
        <v>3124</v>
      </c>
      <c r="T20" s="475">
        <f t="shared" si="7"/>
        <v>313</v>
      </c>
      <c r="U20" s="475">
        <f t="shared" si="7"/>
        <v>54</v>
      </c>
      <c r="V20" s="475">
        <f t="shared" si="7"/>
        <v>17015</v>
      </c>
      <c r="W20" s="475">
        <f t="shared" si="7"/>
        <v>1611</v>
      </c>
      <c r="X20" s="475">
        <f t="shared" si="7"/>
        <v>532</v>
      </c>
      <c r="Y20" s="475">
        <f t="shared" si="7"/>
        <v>1611</v>
      </c>
    </row>
    <row r="21" spans="1:25" s="40" customFormat="1" ht="11.25" customHeight="1">
      <c r="A21" s="671"/>
      <c r="B21" s="96" t="s">
        <v>123</v>
      </c>
      <c r="C21" s="307">
        <f t="shared" si="4"/>
        <v>85918</v>
      </c>
      <c r="D21" s="475">
        <f t="shared" si="5"/>
        <v>85779</v>
      </c>
      <c r="E21" s="475">
        <f>283+3401</f>
        <v>3684</v>
      </c>
      <c r="F21" s="475">
        <f>162+1091</f>
        <v>1253</v>
      </c>
      <c r="G21" s="475">
        <v>13677</v>
      </c>
      <c r="H21" s="475">
        <v>6406</v>
      </c>
      <c r="I21" s="475">
        <v>5302</v>
      </c>
      <c r="J21" s="475">
        <v>1000</v>
      </c>
      <c r="K21" s="475">
        <v>4463</v>
      </c>
      <c r="L21" s="475">
        <v>384</v>
      </c>
      <c r="M21" s="475">
        <v>116</v>
      </c>
      <c r="N21" s="475">
        <v>6715</v>
      </c>
      <c r="O21" s="475">
        <v>3504</v>
      </c>
      <c r="P21" s="475">
        <v>17084</v>
      </c>
      <c r="Q21" s="475">
        <v>4953</v>
      </c>
      <c r="R21" s="475">
        <v>8480</v>
      </c>
      <c r="S21" s="475">
        <v>1682</v>
      </c>
      <c r="T21" s="475">
        <v>226</v>
      </c>
      <c r="U21" s="475">
        <v>42</v>
      </c>
      <c r="V21" s="475">
        <v>6159</v>
      </c>
      <c r="W21" s="475">
        <v>500</v>
      </c>
      <c r="X21" s="475">
        <v>149</v>
      </c>
      <c r="Y21" s="478">
        <v>139</v>
      </c>
    </row>
    <row r="22" spans="1:26" s="40" customFormat="1" ht="11.25" customHeight="1">
      <c r="A22" s="671"/>
      <c r="B22" s="96" t="s">
        <v>510</v>
      </c>
      <c r="C22" s="307">
        <f t="shared" si="4"/>
        <v>86547</v>
      </c>
      <c r="D22" s="475">
        <f t="shared" si="5"/>
        <v>85075</v>
      </c>
      <c r="E22" s="475">
        <f>67+1705</f>
        <v>1772</v>
      </c>
      <c r="F22" s="475">
        <f>41+802</f>
        <v>843</v>
      </c>
      <c r="G22" s="475">
        <v>13027</v>
      </c>
      <c r="H22" s="475">
        <v>5620</v>
      </c>
      <c r="I22" s="475">
        <v>5437</v>
      </c>
      <c r="J22" s="475">
        <v>640</v>
      </c>
      <c r="K22" s="475">
        <v>3044</v>
      </c>
      <c r="L22" s="475">
        <v>202</v>
      </c>
      <c r="M22" s="475">
        <v>579</v>
      </c>
      <c r="N22" s="475">
        <v>6009</v>
      </c>
      <c r="O22" s="475">
        <v>2822</v>
      </c>
      <c r="P22" s="475">
        <v>17709</v>
      </c>
      <c r="Q22" s="475">
        <v>3615</v>
      </c>
      <c r="R22" s="475">
        <v>9865</v>
      </c>
      <c r="S22" s="475">
        <v>1442</v>
      </c>
      <c r="T22" s="475">
        <v>87</v>
      </c>
      <c r="U22" s="475">
        <v>12</v>
      </c>
      <c r="V22" s="475">
        <v>10856</v>
      </c>
      <c r="W22" s="475">
        <v>1111</v>
      </c>
      <c r="X22" s="475">
        <v>383</v>
      </c>
      <c r="Y22" s="478">
        <v>1472</v>
      </c>
      <c r="Z22" s="153"/>
    </row>
    <row r="23" spans="1:26" s="40" customFormat="1" ht="11.25" customHeight="1">
      <c r="A23" s="670" t="s">
        <v>514</v>
      </c>
      <c r="B23" s="96" t="s">
        <v>509</v>
      </c>
      <c r="C23" s="307">
        <f t="shared" si="4"/>
        <v>149275</v>
      </c>
      <c r="D23" s="475">
        <f t="shared" si="5"/>
        <v>147079</v>
      </c>
      <c r="E23" s="475">
        <f>SUM(E24:E25)</f>
        <v>3622</v>
      </c>
      <c r="F23" s="475">
        <f aca="true" t="shared" si="8" ref="F23:Y23">SUM(F24:F25)</f>
        <v>1546</v>
      </c>
      <c r="G23" s="475">
        <f t="shared" si="8"/>
        <v>19949</v>
      </c>
      <c r="H23" s="475">
        <f t="shared" si="8"/>
        <v>9540</v>
      </c>
      <c r="I23" s="475">
        <f t="shared" si="8"/>
        <v>8652</v>
      </c>
      <c r="J23" s="475">
        <f t="shared" si="8"/>
        <v>1403</v>
      </c>
      <c r="K23" s="475">
        <f t="shared" si="8"/>
        <v>5277</v>
      </c>
      <c r="L23" s="475">
        <f t="shared" si="8"/>
        <v>409</v>
      </c>
      <c r="M23" s="475">
        <f t="shared" si="8"/>
        <v>634</v>
      </c>
      <c r="N23" s="475">
        <f t="shared" si="8"/>
        <v>10322</v>
      </c>
      <c r="O23" s="475">
        <f t="shared" si="8"/>
        <v>5089</v>
      </c>
      <c r="P23" s="475">
        <f t="shared" si="8"/>
        <v>28449</v>
      </c>
      <c r="Q23" s="475">
        <f t="shared" si="8"/>
        <v>8016</v>
      </c>
      <c r="R23" s="475">
        <f t="shared" si="8"/>
        <v>19456</v>
      </c>
      <c r="S23" s="475">
        <f t="shared" si="8"/>
        <v>3142</v>
      </c>
      <c r="T23" s="475">
        <f t="shared" si="8"/>
        <v>265</v>
      </c>
      <c r="U23" s="475">
        <f t="shared" si="8"/>
        <v>65</v>
      </c>
      <c r="V23" s="475">
        <f t="shared" si="8"/>
        <v>18370</v>
      </c>
      <c r="W23" s="475">
        <f t="shared" si="8"/>
        <v>2248</v>
      </c>
      <c r="X23" s="475">
        <f t="shared" si="8"/>
        <v>625</v>
      </c>
      <c r="Y23" s="475">
        <f t="shared" si="8"/>
        <v>2196</v>
      </c>
      <c r="Z23" s="153"/>
    </row>
    <row r="24" spans="1:26" s="40" customFormat="1" ht="11.25" customHeight="1">
      <c r="A24" s="671"/>
      <c r="B24" s="96" t="s">
        <v>123</v>
      </c>
      <c r="C24" s="307">
        <f t="shared" si="4"/>
        <v>75406</v>
      </c>
      <c r="D24" s="475">
        <f t="shared" si="5"/>
        <v>75132</v>
      </c>
      <c r="E24" s="475">
        <f>154+2374</f>
        <v>2528</v>
      </c>
      <c r="F24" s="475">
        <f>114+861</f>
        <v>975</v>
      </c>
      <c r="G24" s="475">
        <v>10231</v>
      </c>
      <c r="H24" s="475">
        <v>5058</v>
      </c>
      <c r="I24" s="475">
        <v>4381</v>
      </c>
      <c r="J24" s="475">
        <v>796</v>
      </c>
      <c r="K24" s="475">
        <v>3201</v>
      </c>
      <c r="L24" s="475">
        <v>282</v>
      </c>
      <c r="M24" s="475">
        <v>103</v>
      </c>
      <c r="N24" s="475">
        <v>5436</v>
      </c>
      <c r="O24" s="475">
        <v>2659</v>
      </c>
      <c r="P24" s="475">
        <v>14854</v>
      </c>
      <c r="Q24" s="475">
        <v>4852</v>
      </c>
      <c r="R24" s="475">
        <v>9684</v>
      </c>
      <c r="S24" s="475">
        <v>1718</v>
      </c>
      <c r="T24" s="475">
        <v>223</v>
      </c>
      <c r="U24" s="475">
        <v>61</v>
      </c>
      <c r="V24" s="475">
        <v>7014</v>
      </c>
      <c r="W24" s="475">
        <v>807</v>
      </c>
      <c r="X24" s="475">
        <v>269</v>
      </c>
      <c r="Y24" s="478">
        <v>274</v>
      </c>
      <c r="Z24" s="153"/>
    </row>
    <row r="25" spans="1:26" s="40" customFormat="1" ht="11.25" customHeight="1">
      <c r="A25" s="671"/>
      <c r="B25" s="96" t="s">
        <v>510</v>
      </c>
      <c r="C25" s="307">
        <f t="shared" si="4"/>
        <v>73869</v>
      </c>
      <c r="D25" s="475">
        <f t="shared" si="5"/>
        <v>71947</v>
      </c>
      <c r="E25" s="475">
        <f>30+1064</f>
        <v>1094</v>
      </c>
      <c r="F25" s="475">
        <f>35+536</f>
        <v>571</v>
      </c>
      <c r="G25" s="475">
        <v>9718</v>
      </c>
      <c r="H25" s="475">
        <v>4482</v>
      </c>
      <c r="I25" s="475">
        <v>4271</v>
      </c>
      <c r="J25" s="475">
        <v>607</v>
      </c>
      <c r="K25" s="475">
        <v>2076</v>
      </c>
      <c r="L25" s="475">
        <v>127</v>
      </c>
      <c r="M25" s="475">
        <v>531</v>
      </c>
      <c r="N25" s="475">
        <v>4886</v>
      </c>
      <c r="O25" s="475">
        <v>2430</v>
      </c>
      <c r="P25" s="475">
        <v>13595</v>
      </c>
      <c r="Q25" s="475">
        <v>3164</v>
      </c>
      <c r="R25" s="475">
        <v>9772</v>
      </c>
      <c r="S25" s="475">
        <v>1424</v>
      </c>
      <c r="T25" s="475">
        <v>42</v>
      </c>
      <c r="U25" s="475">
        <v>4</v>
      </c>
      <c r="V25" s="475">
        <v>11356</v>
      </c>
      <c r="W25" s="475">
        <v>1441</v>
      </c>
      <c r="X25" s="475">
        <v>356</v>
      </c>
      <c r="Y25" s="478">
        <v>1922</v>
      </c>
      <c r="Z25" s="153"/>
    </row>
    <row r="26" spans="1:25" s="40" customFormat="1" ht="11.25" customHeight="1">
      <c r="A26" s="670" t="s">
        <v>515</v>
      </c>
      <c r="B26" s="96" t="s">
        <v>509</v>
      </c>
      <c r="C26" s="307">
        <f t="shared" si="4"/>
        <v>125083</v>
      </c>
      <c r="D26" s="475">
        <f t="shared" si="5"/>
        <v>123286</v>
      </c>
      <c r="E26" s="475">
        <f>SUM(E27:E28)</f>
        <v>3470</v>
      </c>
      <c r="F26" s="475">
        <f aca="true" t="shared" si="9" ref="F26:Y26">SUM(F27:F28)</f>
        <v>1410</v>
      </c>
      <c r="G26" s="475">
        <f t="shared" si="9"/>
        <v>18072</v>
      </c>
      <c r="H26" s="475">
        <f t="shared" si="9"/>
        <v>8557</v>
      </c>
      <c r="I26" s="475">
        <f t="shared" si="9"/>
        <v>8006</v>
      </c>
      <c r="J26" s="475">
        <f t="shared" si="9"/>
        <v>1170</v>
      </c>
      <c r="K26" s="475">
        <f t="shared" si="9"/>
        <v>5561</v>
      </c>
      <c r="L26" s="475">
        <f t="shared" si="9"/>
        <v>342</v>
      </c>
      <c r="M26" s="475">
        <f t="shared" si="9"/>
        <v>543</v>
      </c>
      <c r="N26" s="475">
        <f t="shared" si="9"/>
        <v>9175</v>
      </c>
      <c r="O26" s="475">
        <f t="shared" si="9"/>
        <v>4422</v>
      </c>
      <c r="P26" s="475">
        <f t="shared" si="9"/>
        <v>26780</v>
      </c>
      <c r="Q26" s="475">
        <f t="shared" si="9"/>
        <v>6602</v>
      </c>
      <c r="R26" s="475">
        <f t="shared" si="9"/>
        <v>13538</v>
      </c>
      <c r="S26" s="475">
        <f t="shared" si="9"/>
        <v>1806</v>
      </c>
      <c r="T26" s="475">
        <f t="shared" si="9"/>
        <v>119</v>
      </c>
      <c r="U26" s="475">
        <f t="shared" si="9"/>
        <v>29</v>
      </c>
      <c r="V26" s="475">
        <f t="shared" si="9"/>
        <v>12344</v>
      </c>
      <c r="W26" s="475">
        <f t="shared" si="9"/>
        <v>943</v>
      </c>
      <c r="X26" s="475">
        <f t="shared" si="9"/>
        <v>397</v>
      </c>
      <c r="Y26" s="475">
        <f t="shared" si="9"/>
        <v>1797</v>
      </c>
    </row>
    <row r="27" spans="1:25" s="40" customFormat="1" ht="11.25" customHeight="1">
      <c r="A27" s="671"/>
      <c r="B27" s="96" t="s">
        <v>123</v>
      </c>
      <c r="C27" s="307">
        <f t="shared" si="4"/>
        <v>63022</v>
      </c>
      <c r="D27" s="475">
        <f t="shared" si="5"/>
        <v>62794</v>
      </c>
      <c r="E27" s="475">
        <f>186+2203</f>
        <v>2389</v>
      </c>
      <c r="F27" s="475">
        <f>98+755</f>
        <v>853</v>
      </c>
      <c r="G27" s="475">
        <v>9179</v>
      </c>
      <c r="H27" s="475">
        <v>4558</v>
      </c>
      <c r="I27" s="475">
        <v>4078</v>
      </c>
      <c r="J27" s="475">
        <v>682</v>
      </c>
      <c r="K27" s="475">
        <v>3365</v>
      </c>
      <c r="L27" s="475">
        <v>214</v>
      </c>
      <c r="M27" s="475">
        <v>93</v>
      </c>
      <c r="N27" s="475">
        <v>4748</v>
      </c>
      <c r="O27" s="475">
        <v>2332</v>
      </c>
      <c r="P27" s="475">
        <v>13734</v>
      </c>
      <c r="Q27" s="475">
        <v>3822</v>
      </c>
      <c r="R27" s="475">
        <v>6435</v>
      </c>
      <c r="S27" s="475">
        <v>911</v>
      </c>
      <c r="T27" s="475">
        <v>63</v>
      </c>
      <c r="U27" s="475">
        <v>23</v>
      </c>
      <c r="V27" s="475">
        <v>4868</v>
      </c>
      <c r="W27" s="475">
        <v>313</v>
      </c>
      <c r="X27" s="475">
        <v>134</v>
      </c>
      <c r="Y27" s="478">
        <v>228</v>
      </c>
    </row>
    <row r="28" spans="1:25" s="40" customFormat="1" ht="11.25" customHeight="1">
      <c r="A28" s="671"/>
      <c r="B28" s="96" t="s">
        <v>510</v>
      </c>
      <c r="C28" s="307">
        <f t="shared" si="4"/>
        <v>62061</v>
      </c>
      <c r="D28" s="475">
        <f t="shared" si="5"/>
        <v>60492</v>
      </c>
      <c r="E28" s="475">
        <f>36+1045</f>
        <v>1081</v>
      </c>
      <c r="F28" s="475">
        <f>38+519</f>
        <v>557</v>
      </c>
      <c r="G28" s="475">
        <v>8893</v>
      </c>
      <c r="H28" s="475">
        <v>3999</v>
      </c>
      <c r="I28" s="475">
        <v>3928</v>
      </c>
      <c r="J28" s="475">
        <v>488</v>
      </c>
      <c r="K28" s="475">
        <v>2196</v>
      </c>
      <c r="L28" s="475">
        <v>128</v>
      </c>
      <c r="M28" s="475">
        <v>450</v>
      </c>
      <c r="N28" s="475">
        <v>4427</v>
      </c>
      <c r="O28" s="475">
        <v>2090</v>
      </c>
      <c r="P28" s="475">
        <v>13046</v>
      </c>
      <c r="Q28" s="475">
        <v>2780</v>
      </c>
      <c r="R28" s="475">
        <v>7103</v>
      </c>
      <c r="S28" s="475">
        <v>895</v>
      </c>
      <c r="T28" s="475">
        <v>56</v>
      </c>
      <c r="U28" s="475">
        <v>6</v>
      </c>
      <c r="V28" s="475">
        <v>7476</v>
      </c>
      <c r="W28" s="475">
        <v>630</v>
      </c>
      <c r="X28" s="475">
        <v>263</v>
      </c>
      <c r="Y28" s="478">
        <v>1569</v>
      </c>
    </row>
    <row r="29" spans="1:27" s="36" customFormat="1" ht="11.25" customHeight="1">
      <c r="A29" s="670" t="s">
        <v>516</v>
      </c>
      <c r="B29" s="96" t="s">
        <v>509</v>
      </c>
      <c r="C29" s="307">
        <f aca="true" t="shared" si="10" ref="C29:Y29">SUM(C30:C31)</f>
        <v>76705</v>
      </c>
      <c r="D29" s="475">
        <f t="shared" si="10"/>
        <v>75049</v>
      </c>
      <c r="E29" s="475">
        <f t="shared" si="10"/>
        <v>1852</v>
      </c>
      <c r="F29" s="475">
        <f t="shared" si="10"/>
        <v>756</v>
      </c>
      <c r="G29" s="475">
        <f t="shared" si="10"/>
        <v>8931</v>
      </c>
      <c r="H29" s="475">
        <f t="shared" si="10"/>
        <v>4688</v>
      </c>
      <c r="I29" s="475">
        <f t="shared" si="10"/>
        <v>4064</v>
      </c>
      <c r="J29" s="475">
        <f t="shared" si="10"/>
        <v>643</v>
      </c>
      <c r="K29" s="475">
        <f t="shared" si="10"/>
        <v>2378</v>
      </c>
      <c r="L29" s="475">
        <f t="shared" si="10"/>
        <v>197</v>
      </c>
      <c r="M29" s="475">
        <f t="shared" si="10"/>
        <v>312</v>
      </c>
      <c r="N29" s="475">
        <f t="shared" si="10"/>
        <v>4009</v>
      </c>
      <c r="O29" s="475">
        <f t="shared" si="10"/>
        <v>2368</v>
      </c>
      <c r="P29" s="475">
        <f t="shared" si="10"/>
        <v>14724</v>
      </c>
      <c r="Q29" s="475">
        <f t="shared" si="10"/>
        <v>4976</v>
      </c>
      <c r="R29" s="475">
        <f t="shared" si="10"/>
        <v>10725</v>
      </c>
      <c r="S29" s="475">
        <f t="shared" si="10"/>
        <v>1749</v>
      </c>
      <c r="T29" s="475">
        <f t="shared" si="10"/>
        <v>73</v>
      </c>
      <c r="U29" s="475">
        <f t="shared" si="10"/>
        <v>20</v>
      </c>
      <c r="V29" s="475">
        <f t="shared" si="10"/>
        <v>10586</v>
      </c>
      <c r="W29" s="475">
        <f t="shared" si="10"/>
        <v>1689</v>
      </c>
      <c r="X29" s="475">
        <f t="shared" si="10"/>
        <v>309</v>
      </c>
      <c r="Y29" s="475">
        <f t="shared" si="10"/>
        <v>1656</v>
      </c>
      <c r="Z29" s="153"/>
      <c r="AA29" s="40"/>
    </row>
    <row r="30" spans="1:27" s="36" customFormat="1" ht="11.25" customHeight="1">
      <c r="A30" s="671"/>
      <c r="B30" s="96" t="s">
        <v>123</v>
      </c>
      <c r="C30" s="307">
        <f>D30+Y30</f>
        <v>39384</v>
      </c>
      <c r="D30" s="475">
        <f>SUM(E30:X30)</f>
        <v>39176</v>
      </c>
      <c r="E30" s="475">
        <f>140+1151</f>
        <v>1291</v>
      </c>
      <c r="F30" s="475">
        <f>70+395</f>
        <v>465</v>
      </c>
      <c r="G30" s="475">
        <v>4466</v>
      </c>
      <c r="H30" s="475">
        <v>2462</v>
      </c>
      <c r="I30" s="475">
        <v>2151</v>
      </c>
      <c r="J30" s="475">
        <v>344</v>
      </c>
      <c r="K30" s="475">
        <v>1454</v>
      </c>
      <c r="L30" s="475">
        <v>130</v>
      </c>
      <c r="M30" s="475">
        <v>51</v>
      </c>
      <c r="N30" s="475">
        <v>2135</v>
      </c>
      <c r="O30" s="475">
        <v>1300</v>
      </c>
      <c r="P30" s="475">
        <v>7729</v>
      </c>
      <c r="Q30" s="475">
        <v>2986</v>
      </c>
      <c r="R30" s="475">
        <v>5991</v>
      </c>
      <c r="S30" s="475">
        <v>980</v>
      </c>
      <c r="T30" s="475">
        <v>59</v>
      </c>
      <c r="U30" s="475">
        <v>13</v>
      </c>
      <c r="V30" s="475">
        <v>4390</v>
      </c>
      <c r="W30" s="475">
        <v>654</v>
      </c>
      <c r="X30" s="475">
        <v>125</v>
      </c>
      <c r="Y30" s="478">
        <v>208</v>
      </c>
      <c r="Z30" s="40"/>
      <c r="AA30" s="40"/>
    </row>
    <row r="31" spans="1:27" s="36" customFormat="1" ht="11.25" customHeight="1">
      <c r="A31" s="671"/>
      <c r="B31" s="96" t="s">
        <v>510</v>
      </c>
      <c r="C31" s="307">
        <f>D31+Y31</f>
        <v>37321</v>
      </c>
      <c r="D31" s="475">
        <f>SUM(E31:X31)</f>
        <v>35873</v>
      </c>
      <c r="E31" s="475">
        <f>17+544</f>
        <v>561</v>
      </c>
      <c r="F31" s="475">
        <f>25+266</f>
        <v>291</v>
      </c>
      <c r="G31" s="475">
        <v>4465</v>
      </c>
      <c r="H31" s="475">
        <v>2226</v>
      </c>
      <c r="I31" s="475">
        <v>1913</v>
      </c>
      <c r="J31" s="475">
        <v>299</v>
      </c>
      <c r="K31" s="475">
        <v>924</v>
      </c>
      <c r="L31" s="475">
        <v>67</v>
      </c>
      <c r="M31" s="475">
        <v>261</v>
      </c>
      <c r="N31" s="475">
        <v>1874</v>
      </c>
      <c r="O31" s="475">
        <v>1068</v>
      </c>
      <c r="P31" s="475">
        <v>6995</v>
      </c>
      <c r="Q31" s="475">
        <v>1990</v>
      </c>
      <c r="R31" s="475">
        <v>4734</v>
      </c>
      <c r="S31" s="475">
        <v>769</v>
      </c>
      <c r="T31" s="475">
        <v>14</v>
      </c>
      <c r="U31" s="475">
        <v>7</v>
      </c>
      <c r="V31" s="475">
        <v>6196</v>
      </c>
      <c r="W31" s="475">
        <v>1035</v>
      </c>
      <c r="X31" s="475">
        <v>184</v>
      </c>
      <c r="Y31" s="478">
        <v>1448</v>
      </c>
      <c r="Z31" s="40"/>
      <c r="AA31" s="40"/>
    </row>
    <row r="32" spans="1:25" s="40" customFormat="1" ht="11.25" customHeight="1">
      <c r="A32" s="670" t="s">
        <v>517</v>
      </c>
      <c r="B32" s="96" t="s">
        <v>509</v>
      </c>
      <c r="C32" s="307">
        <f t="shared" si="4"/>
        <v>114117</v>
      </c>
      <c r="D32" s="475">
        <f t="shared" si="5"/>
        <v>112209</v>
      </c>
      <c r="E32" s="475">
        <f>SUM(E33:E34)</f>
        <v>3749</v>
      </c>
      <c r="F32" s="475">
        <f aca="true" t="shared" si="11" ref="F32:Y32">SUM(F33:F34)</f>
        <v>1147</v>
      </c>
      <c r="G32" s="475">
        <f t="shared" si="11"/>
        <v>18101</v>
      </c>
      <c r="H32" s="475">
        <f t="shared" si="11"/>
        <v>7205</v>
      </c>
      <c r="I32" s="475">
        <f t="shared" si="11"/>
        <v>7331</v>
      </c>
      <c r="J32" s="475">
        <f t="shared" si="11"/>
        <v>967</v>
      </c>
      <c r="K32" s="475">
        <f t="shared" si="11"/>
        <v>6073</v>
      </c>
      <c r="L32" s="475">
        <f t="shared" si="11"/>
        <v>409</v>
      </c>
      <c r="M32" s="475">
        <f t="shared" si="11"/>
        <v>520</v>
      </c>
      <c r="N32" s="475">
        <f t="shared" si="11"/>
        <v>8233</v>
      </c>
      <c r="O32" s="475">
        <f t="shared" si="11"/>
        <v>4512</v>
      </c>
      <c r="P32" s="475">
        <f t="shared" si="11"/>
        <v>21071</v>
      </c>
      <c r="Q32" s="475">
        <f t="shared" si="11"/>
        <v>5314</v>
      </c>
      <c r="R32" s="475">
        <f t="shared" si="11"/>
        <v>14080</v>
      </c>
      <c r="S32" s="475">
        <f t="shared" si="11"/>
        <v>2094</v>
      </c>
      <c r="T32" s="475">
        <f t="shared" si="11"/>
        <v>77</v>
      </c>
      <c r="U32" s="475">
        <f t="shared" si="11"/>
        <v>14</v>
      </c>
      <c r="V32" s="475">
        <f t="shared" si="11"/>
        <v>9700</v>
      </c>
      <c r="W32" s="475">
        <f t="shared" si="11"/>
        <v>1278</v>
      </c>
      <c r="X32" s="475">
        <f t="shared" si="11"/>
        <v>334</v>
      </c>
      <c r="Y32" s="475">
        <f t="shared" si="11"/>
        <v>1908</v>
      </c>
    </row>
    <row r="33" spans="1:25" s="40" customFormat="1" ht="11.25" customHeight="1">
      <c r="A33" s="671"/>
      <c r="B33" s="96" t="s">
        <v>123</v>
      </c>
      <c r="C33" s="307">
        <f t="shared" si="4"/>
        <v>56493</v>
      </c>
      <c r="D33" s="475">
        <f t="shared" si="5"/>
        <v>56219</v>
      </c>
      <c r="E33" s="475">
        <f>145+2358</f>
        <v>2503</v>
      </c>
      <c r="F33" s="475">
        <f>88+611</f>
        <v>699</v>
      </c>
      <c r="G33" s="475">
        <v>8735</v>
      </c>
      <c r="H33" s="475">
        <v>3733</v>
      </c>
      <c r="I33" s="475">
        <v>3357</v>
      </c>
      <c r="J33" s="475">
        <v>538</v>
      </c>
      <c r="K33" s="475">
        <v>3379</v>
      </c>
      <c r="L33" s="475">
        <v>242</v>
      </c>
      <c r="M33" s="475">
        <v>132</v>
      </c>
      <c r="N33" s="475">
        <v>4011</v>
      </c>
      <c r="O33" s="475">
        <v>2358</v>
      </c>
      <c r="P33" s="475">
        <v>10315</v>
      </c>
      <c r="Q33" s="475">
        <v>3087</v>
      </c>
      <c r="R33" s="475">
        <v>7461</v>
      </c>
      <c r="S33" s="475">
        <v>1085</v>
      </c>
      <c r="T33" s="475">
        <v>43</v>
      </c>
      <c r="U33" s="475">
        <v>10</v>
      </c>
      <c r="V33" s="475">
        <v>3889</v>
      </c>
      <c r="W33" s="475">
        <v>480</v>
      </c>
      <c r="X33" s="475">
        <v>162</v>
      </c>
      <c r="Y33" s="478">
        <v>274</v>
      </c>
    </row>
    <row r="34" spans="1:25" s="40" customFormat="1" ht="11.25" customHeight="1">
      <c r="A34" s="671"/>
      <c r="B34" s="96" t="s">
        <v>510</v>
      </c>
      <c r="C34" s="307">
        <f t="shared" si="4"/>
        <v>57624</v>
      </c>
      <c r="D34" s="475">
        <f t="shared" si="5"/>
        <v>55990</v>
      </c>
      <c r="E34" s="475">
        <f>41+1205</f>
        <v>1246</v>
      </c>
      <c r="F34" s="475">
        <f>29+419</f>
        <v>448</v>
      </c>
      <c r="G34" s="475">
        <v>9366</v>
      </c>
      <c r="H34" s="475">
        <v>3472</v>
      </c>
      <c r="I34" s="475">
        <v>3974</v>
      </c>
      <c r="J34" s="475">
        <v>429</v>
      </c>
      <c r="K34" s="475">
        <v>2694</v>
      </c>
      <c r="L34" s="475">
        <v>167</v>
      </c>
      <c r="M34" s="475">
        <v>388</v>
      </c>
      <c r="N34" s="475">
        <v>4222</v>
      </c>
      <c r="O34" s="475">
        <v>2154</v>
      </c>
      <c r="P34" s="475">
        <v>10756</v>
      </c>
      <c r="Q34" s="475">
        <v>2227</v>
      </c>
      <c r="R34" s="475">
        <v>6619</v>
      </c>
      <c r="S34" s="475">
        <v>1009</v>
      </c>
      <c r="T34" s="475">
        <v>34</v>
      </c>
      <c r="U34" s="475">
        <v>4</v>
      </c>
      <c r="V34" s="475">
        <v>5811</v>
      </c>
      <c r="W34" s="475">
        <v>798</v>
      </c>
      <c r="X34" s="475">
        <v>172</v>
      </c>
      <c r="Y34" s="478">
        <v>1634</v>
      </c>
    </row>
    <row r="35" spans="1:25" s="40" customFormat="1" ht="11.25" customHeight="1">
      <c r="A35" s="670" t="s">
        <v>518</v>
      </c>
      <c r="B35" s="96" t="s">
        <v>509</v>
      </c>
      <c r="C35" s="307">
        <f t="shared" si="4"/>
        <v>67834</v>
      </c>
      <c r="D35" s="475">
        <f t="shared" si="5"/>
        <v>65379</v>
      </c>
      <c r="E35" s="475">
        <f>SUM(E36:E37)</f>
        <v>1143</v>
      </c>
      <c r="F35" s="475">
        <f aca="true" t="shared" si="12" ref="F35:Y35">SUM(F36:F37)</f>
        <v>504</v>
      </c>
      <c r="G35" s="475">
        <f t="shared" si="12"/>
        <v>7373</v>
      </c>
      <c r="H35" s="475">
        <f t="shared" si="12"/>
        <v>4283</v>
      </c>
      <c r="I35" s="475">
        <f t="shared" si="12"/>
        <v>3010</v>
      </c>
      <c r="J35" s="475">
        <f t="shared" si="12"/>
        <v>500</v>
      </c>
      <c r="K35" s="475">
        <f t="shared" si="12"/>
        <v>2352</v>
      </c>
      <c r="L35" s="475">
        <f t="shared" si="12"/>
        <v>164</v>
      </c>
      <c r="M35" s="475">
        <f t="shared" si="12"/>
        <v>217</v>
      </c>
      <c r="N35" s="475">
        <f t="shared" si="12"/>
        <v>4165</v>
      </c>
      <c r="O35" s="475">
        <f t="shared" si="12"/>
        <v>2103</v>
      </c>
      <c r="P35" s="475">
        <f t="shared" si="12"/>
        <v>14160</v>
      </c>
      <c r="Q35" s="475">
        <f t="shared" si="12"/>
        <v>3913</v>
      </c>
      <c r="R35" s="475">
        <f t="shared" si="12"/>
        <v>10254</v>
      </c>
      <c r="S35" s="475">
        <f t="shared" si="12"/>
        <v>1417</v>
      </c>
      <c r="T35" s="475">
        <f t="shared" si="12"/>
        <v>71</v>
      </c>
      <c r="U35" s="475">
        <f t="shared" si="12"/>
        <v>18</v>
      </c>
      <c r="V35" s="475">
        <f t="shared" si="12"/>
        <v>8358</v>
      </c>
      <c r="W35" s="475">
        <f t="shared" si="12"/>
        <v>1163</v>
      </c>
      <c r="X35" s="475">
        <f t="shared" si="12"/>
        <v>211</v>
      </c>
      <c r="Y35" s="475">
        <f t="shared" si="12"/>
        <v>2455</v>
      </c>
    </row>
    <row r="36" spans="1:25" s="40" customFormat="1" ht="11.25" customHeight="1">
      <c r="A36" s="671"/>
      <c r="B36" s="96" t="s">
        <v>123</v>
      </c>
      <c r="C36" s="307">
        <f t="shared" si="4"/>
        <v>35099</v>
      </c>
      <c r="D36" s="475">
        <f t="shared" si="5"/>
        <v>34675</v>
      </c>
      <c r="E36" s="475">
        <f>41+732</f>
        <v>773</v>
      </c>
      <c r="F36" s="475">
        <f>20+288</f>
        <v>308</v>
      </c>
      <c r="G36" s="475">
        <v>3550</v>
      </c>
      <c r="H36" s="475">
        <v>2250</v>
      </c>
      <c r="I36" s="475">
        <v>1493</v>
      </c>
      <c r="J36" s="475">
        <v>281</v>
      </c>
      <c r="K36" s="475">
        <v>1468</v>
      </c>
      <c r="L36" s="475">
        <v>102</v>
      </c>
      <c r="M36" s="475">
        <v>37</v>
      </c>
      <c r="N36" s="475">
        <v>2247</v>
      </c>
      <c r="O36" s="475">
        <v>1150</v>
      </c>
      <c r="P36" s="475">
        <v>7848</v>
      </c>
      <c r="Q36" s="475">
        <v>2294</v>
      </c>
      <c r="R36" s="475">
        <v>5737</v>
      </c>
      <c r="S36" s="475">
        <v>753</v>
      </c>
      <c r="T36" s="475">
        <v>50</v>
      </c>
      <c r="U36" s="475">
        <v>10</v>
      </c>
      <c r="V36" s="475">
        <v>3718</v>
      </c>
      <c r="W36" s="475">
        <v>525</v>
      </c>
      <c r="X36" s="475">
        <v>81</v>
      </c>
      <c r="Y36" s="478">
        <v>424</v>
      </c>
    </row>
    <row r="37" spans="1:25" s="40" customFormat="1" ht="11.25" customHeight="1">
      <c r="A37" s="671"/>
      <c r="B37" s="96" t="s">
        <v>510</v>
      </c>
      <c r="C37" s="307">
        <f t="shared" si="4"/>
        <v>32735</v>
      </c>
      <c r="D37" s="475">
        <f t="shared" si="5"/>
        <v>30704</v>
      </c>
      <c r="E37" s="475">
        <f>12+358</f>
        <v>370</v>
      </c>
      <c r="F37" s="475">
        <f>11+185</f>
        <v>196</v>
      </c>
      <c r="G37" s="475">
        <v>3823</v>
      </c>
      <c r="H37" s="475">
        <v>2033</v>
      </c>
      <c r="I37" s="475">
        <v>1517</v>
      </c>
      <c r="J37" s="475">
        <v>219</v>
      </c>
      <c r="K37" s="475">
        <v>884</v>
      </c>
      <c r="L37" s="475">
        <v>62</v>
      </c>
      <c r="M37" s="475">
        <v>180</v>
      </c>
      <c r="N37" s="475">
        <v>1918</v>
      </c>
      <c r="O37" s="475">
        <v>953</v>
      </c>
      <c r="P37" s="475">
        <v>6312</v>
      </c>
      <c r="Q37" s="475">
        <v>1619</v>
      </c>
      <c r="R37" s="475">
        <v>4517</v>
      </c>
      <c r="S37" s="475">
        <v>664</v>
      </c>
      <c r="T37" s="475">
        <v>21</v>
      </c>
      <c r="U37" s="475">
        <v>8</v>
      </c>
      <c r="V37" s="475">
        <v>4640</v>
      </c>
      <c r="W37" s="475">
        <v>638</v>
      </c>
      <c r="X37" s="475">
        <v>130</v>
      </c>
      <c r="Y37" s="478">
        <v>2031</v>
      </c>
    </row>
    <row r="38" spans="1:25" s="40" customFormat="1" ht="11.25" customHeight="1">
      <c r="A38" s="670" t="s">
        <v>519</v>
      </c>
      <c r="B38" s="96" t="s">
        <v>509</v>
      </c>
      <c r="C38" s="307">
        <f t="shared" si="4"/>
        <v>115995</v>
      </c>
      <c r="D38" s="475">
        <f t="shared" si="5"/>
        <v>114405</v>
      </c>
      <c r="E38" s="475">
        <f>SUM(E39:E40)</f>
        <v>3626</v>
      </c>
      <c r="F38" s="475">
        <f aca="true" t="shared" si="13" ref="F38:Y38">SUM(F39:F40)</f>
        <v>1412</v>
      </c>
      <c r="G38" s="475">
        <f t="shared" si="13"/>
        <v>16217</v>
      </c>
      <c r="H38" s="475">
        <f t="shared" si="13"/>
        <v>7058</v>
      </c>
      <c r="I38" s="475">
        <f t="shared" si="13"/>
        <v>6701</v>
      </c>
      <c r="J38" s="475">
        <f t="shared" si="13"/>
        <v>1282</v>
      </c>
      <c r="K38" s="475">
        <f t="shared" si="13"/>
        <v>5367</v>
      </c>
      <c r="L38" s="475">
        <f t="shared" si="13"/>
        <v>407</v>
      </c>
      <c r="M38" s="475">
        <f t="shared" si="13"/>
        <v>630</v>
      </c>
      <c r="N38" s="475">
        <f t="shared" si="13"/>
        <v>8740</v>
      </c>
      <c r="O38" s="475">
        <f t="shared" si="13"/>
        <v>4030</v>
      </c>
      <c r="P38" s="475">
        <f t="shared" si="13"/>
        <v>20381</v>
      </c>
      <c r="Q38" s="475">
        <f t="shared" si="13"/>
        <v>5888</v>
      </c>
      <c r="R38" s="475">
        <f t="shared" si="13"/>
        <v>14962</v>
      </c>
      <c r="S38" s="475">
        <f t="shared" si="13"/>
        <v>2585</v>
      </c>
      <c r="T38" s="475">
        <f t="shared" si="13"/>
        <v>94</v>
      </c>
      <c r="U38" s="475">
        <f t="shared" si="13"/>
        <v>23</v>
      </c>
      <c r="V38" s="475">
        <f t="shared" si="13"/>
        <v>13074</v>
      </c>
      <c r="W38" s="475">
        <f t="shared" si="13"/>
        <v>1553</v>
      </c>
      <c r="X38" s="475">
        <f t="shared" si="13"/>
        <v>375</v>
      </c>
      <c r="Y38" s="475">
        <f t="shared" si="13"/>
        <v>1590</v>
      </c>
    </row>
    <row r="39" spans="1:25" s="40" customFormat="1" ht="11.25" customHeight="1">
      <c r="A39" s="671"/>
      <c r="B39" s="96" t="s">
        <v>123</v>
      </c>
      <c r="C39" s="307">
        <f t="shared" si="4"/>
        <v>58299</v>
      </c>
      <c r="D39" s="475">
        <f t="shared" si="5"/>
        <v>58062</v>
      </c>
      <c r="E39" s="475">
        <f>252+2063</f>
        <v>2315</v>
      </c>
      <c r="F39" s="475">
        <f>123+679</f>
        <v>802</v>
      </c>
      <c r="G39" s="475">
        <v>7911</v>
      </c>
      <c r="H39" s="475">
        <v>3815</v>
      </c>
      <c r="I39" s="475">
        <v>3220</v>
      </c>
      <c r="J39" s="475">
        <v>718</v>
      </c>
      <c r="K39" s="475">
        <v>3068</v>
      </c>
      <c r="L39" s="475">
        <v>262</v>
      </c>
      <c r="M39" s="475">
        <v>174</v>
      </c>
      <c r="N39" s="475">
        <v>4593</v>
      </c>
      <c r="O39" s="475">
        <v>2163</v>
      </c>
      <c r="P39" s="475">
        <v>10428</v>
      </c>
      <c r="Q39" s="475">
        <v>3564</v>
      </c>
      <c r="R39" s="475">
        <v>7774</v>
      </c>
      <c r="S39" s="475">
        <v>1442</v>
      </c>
      <c r="T39" s="475">
        <v>65</v>
      </c>
      <c r="U39" s="475">
        <v>12</v>
      </c>
      <c r="V39" s="475">
        <v>5008</v>
      </c>
      <c r="W39" s="475">
        <v>580</v>
      </c>
      <c r="X39" s="475">
        <v>148</v>
      </c>
      <c r="Y39" s="478">
        <v>237</v>
      </c>
    </row>
    <row r="40" spans="1:25" s="40" customFormat="1" ht="11.25" customHeight="1">
      <c r="A40" s="671"/>
      <c r="B40" s="96" t="s">
        <v>510</v>
      </c>
      <c r="C40" s="307">
        <f t="shared" si="4"/>
        <v>57696</v>
      </c>
      <c r="D40" s="475">
        <f t="shared" si="5"/>
        <v>56343</v>
      </c>
      <c r="E40" s="475">
        <f>92+1219</f>
        <v>1311</v>
      </c>
      <c r="F40" s="475">
        <f>76+534</f>
        <v>610</v>
      </c>
      <c r="G40" s="475">
        <v>8306</v>
      </c>
      <c r="H40" s="475">
        <v>3243</v>
      </c>
      <c r="I40" s="475">
        <v>3481</v>
      </c>
      <c r="J40" s="475">
        <v>564</v>
      </c>
      <c r="K40" s="475">
        <v>2299</v>
      </c>
      <c r="L40" s="475">
        <v>145</v>
      </c>
      <c r="M40" s="475">
        <v>456</v>
      </c>
      <c r="N40" s="475">
        <v>4147</v>
      </c>
      <c r="O40" s="475">
        <v>1867</v>
      </c>
      <c r="P40" s="475">
        <v>9953</v>
      </c>
      <c r="Q40" s="475">
        <v>2324</v>
      </c>
      <c r="R40" s="475">
        <v>7188</v>
      </c>
      <c r="S40" s="475">
        <v>1143</v>
      </c>
      <c r="T40" s="475">
        <v>29</v>
      </c>
      <c r="U40" s="475">
        <v>11</v>
      </c>
      <c r="V40" s="475">
        <v>8066</v>
      </c>
      <c r="W40" s="475">
        <v>973</v>
      </c>
      <c r="X40" s="475">
        <v>227</v>
      </c>
      <c r="Y40" s="478">
        <v>1353</v>
      </c>
    </row>
    <row r="41" spans="1:25" s="40" customFormat="1" ht="11.25" customHeight="1">
      <c r="A41" s="670" t="s">
        <v>520</v>
      </c>
      <c r="B41" s="96" t="s">
        <v>509</v>
      </c>
      <c r="C41" s="307">
        <f t="shared" si="4"/>
        <v>96218</v>
      </c>
      <c r="D41" s="475">
        <f t="shared" si="5"/>
        <v>95165</v>
      </c>
      <c r="E41" s="475">
        <f>SUM(E42:E43)</f>
        <v>3943</v>
      </c>
      <c r="F41" s="475">
        <f aca="true" t="shared" si="14" ref="F41:Y41">SUM(F42:F43)</f>
        <v>1378</v>
      </c>
      <c r="G41" s="475">
        <f t="shared" si="14"/>
        <v>13948</v>
      </c>
      <c r="H41" s="475">
        <f t="shared" si="14"/>
        <v>6579</v>
      </c>
      <c r="I41" s="475">
        <f t="shared" si="14"/>
        <v>5123</v>
      </c>
      <c r="J41" s="475">
        <f t="shared" si="14"/>
        <v>869</v>
      </c>
      <c r="K41" s="475">
        <f t="shared" si="14"/>
        <v>4247</v>
      </c>
      <c r="L41" s="475">
        <f t="shared" si="14"/>
        <v>287</v>
      </c>
      <c r="M41" s="475">
        <f t="shared" si="14"/>
        <v>584</v>
      </c>
      <c r="N41" s="475">
        <f t="shared" si="14"/>
        <v>7140</v>
      </c>
      <c r="O41" s="475">
        <f t="shared" si="14"/>
        <v>3250</v>
      </c>
      <c r="P41" s="475">
        <f t="shared" si="14"/>
        <v>17639</v>
      </c>
      <c r="Q41" s="475">
        <f t="shared" si="14"/>
        <v>5034</v>
      </c>
      <c r="R41" s="475">
        <f t="shared" si="14"/>
        <v>10863</v>
      </c>
      <c r="S41" s="475">
        <f t="shared" si="14"/>
        <v>1946</v>
      </c>
      <c r="T41" s="475">
        <f t="shared" si="14"/>
        <v>159</v>
      </c>
      <c r="U41" s="475">
        <f t="shared" si="14"/>
        <v>27</v>
      </c>
      <c r="V41" s="475">
        <f t="shared" si="14"/>
        <v>10458</v>
      </c>
      <c r="W41" s="475">
        <f t="shared" si="14"/>
        <v>1394</v>
      </c>
      <c r="X41" s="475">
        <f t="shared" si="14"/>
        <v>297</v>
      </c>
      <c r="Y41" s="475">
        <f t="shared" si="14"/>
        <v>1053</v>
      </c>
    </row>
    <row r="42" spans="1:25" s="40" customFormat="1" ht="11.25" customHeight="1">
      <c r="A42" s="671"/>
      <c r="B42" s="96" t="s">
        <v>123</v>
      </c>
      <c r="C42" s="307">
        <f t="shared" si="4"/>
        <v>48580</v>
      </c>
      <c r="D42" s="475">
        <f t="shared" si="5"/>
        <v>48469</v>
      </c>
      <c r="E42" s="475">
        <f>428+2439</f>
        <v>2867</v>
      </c>
      <c r="F42" s="475">
        <f>174+654</f>
        <v>828</v>
      </c>
      <c r="G42" s="475">
        <v>6942</v>
      </c>
      <c r="H42" s="475">
        <v>3528</v>
      </c>
      <c r="I42" s="475">
        <v>2494</v>
      </c>
      <c r="J42" s="475">
        <v>485</v>
      </c>
      <c r="K42" s="475">
        <v>2414</v>
      </c>
      <c r="L42" s="475">
        <v>168</v>
      </c>
      <c r="M42" s="475">
        <v>121</v>
      </c>
      <c r="N42" s="475">
        <v>3697</v>
      </c>
      <c r="O42" s="475">
        <v>1705</v>
      </c>
      <c r="P42" s="475">
        <v>9088</v>
      </c>
      <c r="Q42" s="475">
        <v>2993</v>
      </c>
      <c r="R42" s="475">
        <v>5382</v>
      </c>
      <c r="S42" s="475">
        <v>1050</v>
      </c>
      <c r="T42" s="475">
        <v>110</v>
      </c>
      <c r="U42" s="475">
        <v>20</v>
      </c>
      <c r="V42" s="475">
        <v>4024</v>
      </c>
      <c r="W42" s="475">
        <v>476</v>
      </c>
      <c r="X42" s="475">
        <v>77</v>
      </c>
      <c r="Y42" s="478">
        <v>111</v>
      </c>
    </row>
    <row r="43" spans="1:25" s="40" customFormat="1" ht="11.25" customHeight="1">
      <c r="A43" s="671"/>
      <c r="B43" s="96" t="s">
        <v>510</v>
      </c>
      <c r="C43" s="307">
        <f t="shared" si="4"/>
        <v>47638</v>
      </c>
      <c r="D43" s="475">
        <f t="shared" si="5"/>
        <v>46696</v>
      </c>
      <c r="E43" s="475">
        <f>55+1021</f>
        <v>1076</v>
      </c>
      <c r="F43" s="475">
        <f>44+506</f>
        <v>550</v>
      </c>
      <c r="G43" s="475">
        <v>7006</v>
      </c>
      <c r="H43" s="475">
        <v>3051</v>
      </c>
      <c r="I43" s="475">
        <v>2629</v>
      </c>
      <c r="J43" s="475">
        <v>384</v>
      </c>
      <c r="K43" s="475">
        <v>1833</v>
      </c>
      <c r="L43" s="475">
        <v>119</v>
      </c>
      <c r="M43" s="475">
        <v>463</v>
      </c>
      <c r="N43" s="475">
        <v>3443</v>
      </c>
      <c r="O43" s="475">
        <v>1545</v>
      </c>
      <c r="P43" s="475">
        <v>8551</v>
      </c>
      <c r="Q43" s="475">
        <v>2041</v>
      </c>
      <c r="R43" s="475">
        <v>5481</v>
      </c>
      <c r="S43" s="475">
        <v>896</v>
      </c>
      <c r="T43" s="475">
        <v>49</v>
      </c>
      <c r="U43" s="475">
        <v>7</v>
      </c>
      <c r="V43" s="475">
        <v>6434</v>
      </c>
      <c r="W43" s="475">
        <v>918</v>
      </c>
      <c r="X43" s="475">
        <v>220</v>
      </c>
      <c r="Y43" s="478">
        <v>942</v>
      </c>
    </row>
    <row r="44" spans="1:25" s="40" customFormat="1" ht="11.25" customHeight="1">
      <c r="A44" s="670" t="s">
        <v>521</v>
      </c>
      <c r="B44" s="96" t="s">
        <v>509</v>
      </c>
      <c r="C44" s="307">
        <f t="shared" si="4"/>
        <v>41387</v>
      </c>
      <c r="D44" s="475">
        <f t="shared" si="5"/>
        <v>39643</v>
      </c>
      <c r="E44" s="475">
        <f>SUM(E45:E46)</f>
        <v>572</v>
      </c>
      <c r="F44" s="475">
        <f aca="true" t="shared" si="15" ref="F44:Y44">SUM(F45:F46)</f>
        <v>248</v>
      </c>
      <c r="G44" s="475">
        <f t="shared" si="15"/>
        <v>4258</v>
      </c>
      <c r="H44" s="475">
        <f t="shared" si="15"/>
        <v>2601</v>
      </c>
      <c r="I44" s="475">
        <f t="shared" si="15"/>
        <v>2150</v>
      </c>
      <c r="J44" s="475">
        <f t="shared" si="15"/>
        <v>310</v>
      </c>
      <c r="K44" s="475">
        <f t="shared" si="15"/>
        <v>1045</v>
      </c>
      <c r="L44" s="475">
        <f t="shared" si="15"/>
        <v>64</v>
      </c>
      <c r="M44" s="475">
        <f t="shared" si="15"/>
        <v>179</v>
      </c>
      <c r="N44" s="475">
        <f t="shared" si="15"/>
        <v>2174</v>
      </c>
      <c r="O44" s="475">
        <f t="shared" si="15"/>
        <v>1232</v>
      </c>
      <c r="P44" s="475">
        <f t="shared" si="15"/>
        <v>9429</v>
      </c>
      <c r="Q44" s="475">
        <f t="shared" si="15"/>
        <v>2381</v>
      </c>
      <c r="R44" s="475">
        <f t="shared" si="15"/>
        <v>5258</v>
      </c>
      <c r="S44" s="475">
        <f t="shared" si="15"/>
        <v>558</v>
      </c>
      <c r="T44" s="475">
        <f t="shared" si="15"/>
        <v>45</v>
      </c>
      <c r="U44" s="475">
        <f t="shared" si="15"/>
        <v>3</v>
      </c>
      <c r="V44" s="475">
        <f t="shared" si="15"/>
        <v>6158</v>
      </c>
      <c r="W44" s="475">
        <f t="shared" si="15"/>
        <v>631</v>
      </c>
      <c r="X44" s="475">
        <f t="shared" si="15"/>
        <v>347</v>
      </c>
      <c r="Y44" s="475">
        <f t="shared" si="15"/>
        <v>1744</v>
      </c>
    </row>
    <row r="45" spans="1:25" s="40" customFormat="1" ht="11.25" customHeight="1">
      <c r="A45" s="671"/>
      <c r="B45" s="96" t="s">
        <v>123</v>
      </c>
      <c r="C45" s="307">
        <f t="shared" si="4"/>
        <v>22251</v>
      </c>
      <c r="D45" s="475">
        <f t="shared" si="5"/>
        <v>22046</v>
      </c>
      <c r="E45" s="475">
        <f>22+369</f>
        <v>391</v>
      </c>
      <c r="F45" s="475">
        <f>15+149</f>
        <v>164</v>
      </c>
      <c r="G45" s="475">
        <v>2252</v>
      </c>
      <c r="H45" s="475">
        <v>1376</v>
      </c>
      <c r="I45" s="475">
        <v>1239</v>
      </c>
      <c r="J45" s="475">
        <v>182</v>
      </c>
      <c r="K45" s="475">
        <v>715</v>
      </c>
      <c r="L45" s="475">
        <v>48</v>
      </c>
      <c r="M45" s="475">
        <v>34</v>
      </c>
      <c r="N45" s="475">
        <v>1262</v>
      </c>
      <c r="O45" s="475">
        <v>703</v>
      </c>
      <c r="P45" s="475">
        <v>5616</v>
      </c>
      <c r="Q45" s="475">
        <v>1447</v>
      </c>
      <c r="R45" s="475">
        <v>2873</v>
      </c>
      <c r="S45" s="475">
        <v>310</v>
      </c>
      <c r="T45" s="475">
        <v>30</v>
      </c>
      <c r="U45" s="475">
        <v>3</v>
      </c>
      <c r="V45" s="475">
        <v>3004</v>
      </c>
      <c r="W45" s="475">
        <v>245</v>
      </c>
      <c r="X45" s="475">
        <v>152</v>
      </c>
      <c r="Y45" s="478">
        <v>205</v>
      </c>
    </row>
    <row r="46" spans="1:26" s="40" customFormat="1" ht="11.25" customHeight="1">
      <c r="A46" s="671"/>
      <c r="B46" s="96" t="s">
        <v>510</v>
      </c>
      <c r="C46" s="307">
        <f t="shared" si="4"/>
        <v>19136</v>
      </c>
      <c r="D46" s="475">
        <f t="shared" si="5"/>
        <v>17597</v>
      </c>
      <c r="E46" s="475">
        <f>8+173</f>
        <v>181</v>
      </c>
      <c r="F46" s="475">
        <f>7+77</f>
        <v>84</v>
      </c>
      <c r="G46" s="475">
        <v>2006</v>
      </c>
      <c r="H46" s="475">
        <v>1225</v>
      </c>
      <c r="I46" s="475">
        <v>911</v>
      </c>
      <c r="J46" s="475">
        <v>128</v>
      </c>
      <c r="K46" s="475">
        <v>330</v>
      </c>
      <c r="L46" s="475">
        <v>16</v>
      </c>
      <c r="M46" s="475">
        <v>145</v>
      </c>
      <c r="N46" s="475">
        <v>912</v>
      </c>
      <c r="O46" s="475">
        <v>529</v>
      </c>
      <c r="P46" s="475">
        <v>3813</v>
      </c>
      <c r="Q46" s="475">
        <v>934</v>
      </c>
      <c r="R46" s="475">
        <v>2385</v>
      </c>
      <c r="S46" s="475">
        <v>248</v>
      </c>
      <c r="T46" s="475">
        <v>15</v>
      </c>
      <c r="U46" s="479" t="s">
        <v>651</v>
      </c>
      <c r="V46" s="475">
        <v>3154</v>
      </c>
      <c r="W46" s="475">
        <v>386</v>
      </c>
      <c r="X46" s="475">
        <v>195</v>
      </c>
      <c r="Y46" s="478">
        <v>1539</v>
      </c>
      <c r="Z46" s="153"/>
    </row>
    <row r="47" spans="1:26" s="40" customFormat="1" ht="11.25" customHeight="1">
      <c r="A47" s="670" t="s">
        <v>522</v>
      </c>
      <c r="B47" s="96" t="s">
        <v>509</v>
      </c>
      <c r="C47" s="307">
        <f t="shared" si="4"/>
        <v>51383</v>
      </c>
      <c r="D47" s="475">
        <f t="shared" si="5"/>
        <v>49512</v>
      </c>
      <c r="E47" s="475">
        <f>SUM(E48:E49)</f>
        <v>762</v>
      </c>
      <c r="F47" s="475">
        <f>SUM(F48:F49)</f>
        <v>379</v>
      </c>
      <c r="G47" s="475">
        <f>SUM(G48:G49)</f>
        <v>5099</v>
      </c>
      <c r="H47" s="475">
        <f aca="true" t="shared" si="16" ref="H47:Y47">SUM(H48:H49)</f>
        <v>3781</v>
      </c>
      <c r="I47" s="475">
        <f t="shared" si="16"/>
        <v>2537</v>
      </c>
      <c r="J47" s="475">
        <f t="shared" si="16"/>
        <v>412</v>
      </c>
      <c r="K47" s="475">
        <f t="shared" si="16"/>
        <v>1631</v>
      </c>
      <c r="L47" s="475">
        <f t="shared" si="16"/>
        <v>132</v>
      </c>
      <c r="M47" s="475">
        <f t="shared" si="16"/>
        <v>243</v>
      </c>
      <c r="N47" s="475">
        <f t="shared" si="16"/>
        <v>3426</v>
      </c>
      <c r="O47" s="475">
        <f t="shared" si="16"/>
        <v>1673</v>
      </c>
      <c r="P47" s="475">
        <f t="shared" si="16"/>
        <v>10752</v>
      </c>
      <c r="Q47" s="475">
        <f t="shared" si="16"/>
        <v>3060</v>
      </c>
      <c r="R47" s="475">
        <f t="shared" si="16"/>
        <v>7276</v>
      </c>
      <c r="S47" s="475">
        <f t="shared" si="16"/>
        <v>889</v>
      </c>
      <c r="T47" s="475">
        <f t="shared" si="16"/>
        <v>37</v>
      </c>
      <c r="U47" s="475">
        <f t="shared" si="16"/>
        <v>5</v>
      </c>
      <c r="V47" s="475">
        <f t="shared" si="16"/>
        <v>6522</v>
      </c>
      <c r="W47" s="475">
        <f t="shared" si="16"/>
        <v>601</v>
      </c>
      <c r="X47" s="475">
        <f t="shared" si="16"/>
        <v>295</v>
      </c>
      <c r="Y47" s="475">
        <f t="shared" si="16"/>
        <v>1871</v>
      </c>
      <c r="Z47" s="153"/>
    </row>
    <row r="48" spans="1:25" s="40" customFormat="1" ht="11.25" customHeight="1">
      <c r="A48" s="671"/>
      <c r="B48" s="96" t="s">
        <v>123</v>
      </c>
      <c r="C48" s="307">
        <f t="shared" si="4"/>
        <v>27098</v>
      </c>
      <c r="D48" s="475">
        <f t="shared" si="5"/>
        <v>26841</v>
      </c>
      <c r="E48" s="475">
        <f>35+482</f>
        <v>517</v>
      </c>
      <c r="F48" s="475">
        <f>25+222</f>
        <v>247</v>
      </c>
      <c r="G48" s="475">
        <v>2577</v>
      </c>
      <c r="H48" s="475">
        <v>1996</v>
      </c>
      <c r="I48" s="475">
        <v>1357</v>
      </c>
      <c r="J48" s="475">
        <v>231</v>
      </c>
      <c r="K48" s="475">
        <v>1051</v>
      </c>
      <c r="L48" s="475">
        <v>91</v>
      </c>
      <c r="M48" s="475">
        <v>30</v>
      </c>
      <c r="N48" s="475">
        <v>1865</v>
      </c>
      <c r="O48" s="475">
        <v>935</v>
      </c>
      <c r="P48" s="475">
        <v>6121</v>
      </c>
      <c r="Q48" s="475">
        <v>1774</v>
      </c>
      <c r="R48" s="475">
        <v>4089</v>
      </c>
      <c r="S48" s="475">
        <v>473</v>
      </c>
      <c r="T48" s="475">
        <v>25</v>
      </c>
      <c r="U48" s="475">
        <v>5</v>
      </c>
      <c r="V48" s="475">
        <v>3079</v>
      </c>
      <c r="W48" s="475">
        <v>218</v>
      </c>
      <c r="X48" s="475">
        <v>160</v>
      </c>
      <c r="Y48" s="478">
        <v>257</v>
      </c>
    </row>
    <row r="49" spans="1:25" s="40" customFormat="1" ht="11.25" customHeight="1">
      <c r="A49" s="671"/>
      <c r="B49" s="96" t="s">
        <v>510</v>
      </c>
      <c r="C49" s="307">
        <f t="shared" si="4"/>
        <v>24285</v>
      </c>
      <c r="D49" s="475">
        <f t="shared" si="5"/>
        <v>22671</v>
      </c>
      <c r="E49" s="475">
        <f>9+236</f>
        <v>245</v>
      </c>
      <c r="F49" s="475">
        <f>8+124</f>
        <v>132</v>
      </c>
      <c r="G49" s="475">
        <v>2522</v>
      </c>
      <c r="H49" s="475">
        <v>1785</v>
      </c>
      <c r="I49" s="475">
        <v>1180</v>
      </c>
      <c r="J49" s="475">
        <v>181</v>
      </c>
      <c r="K49" s="475">
        <v>580</v>
      </c>
      <c r="L49" s="475">
        <v>41</v>
      </c>
      <c r="M49" s="475">
        <v>213</v>
      </c>
      <c r="N49" s="475">
        <v>1561</v>
      </c>
      <c r="O49" s="475">
        <v>738</v>
      </c>
      <c r="P49" s="475">
        <v>4631</v>
      </c>
      <c r="Q49" s="475">
        <v>1286</v>
      </c>
      <c r="R49" s="475">
        <v>3187</v>
      </c>
      <c r="S49" s="475">
        <v>416</v>
      </c>
      <c r="T49" s="475">
        <v>12</v>
      </c>
      <c r="U49" s="479" t="s">
        <v>60</v>
      </c>
      <c r="V49" s="475">
        <v>3443</v>
      </c>
      <c r="W49" s="475">
        <v>383</v>
      </c>
      <c r="X49" s="475">
        <v>135</v>
      </c>
      <c r="Y49" s="478">
        <v>1614</v>
      </c>
    </row>
    <row r="50" spans="1:25" s="40" customFormat="1" ht="11.25" customHeight="1">
      <c r="A50" s="670" t="s">
        <v>523</v>
      </c>
      <c r="B50" s="96" t="s">
        <v>509</v>
      </c>
      <c r="C50" s="307">
        <f t="shared" si="4"/>
        <v>8871</v>
      </c>
      <c r="D50" s="475">
        <f t="shared" si="5"/>
        <v>8733</v>
      </c>
      <c r="E50" s="475">
        <f>SUM(E51:E52)</f>
        <v>52</v>
      </c>
      <c r="F50" s="475">
        <f aca="true" t="shared" si="17" ref="F50:Y50">SUM(F51:F52)</f>
        <v>39</v>
      </c>
      <c r="G50" s="475">
        <f t="shared" si="17"/>
        <v>463</v>
      </c>
      <c r="H50" s="475">
        <f t="shared" si="17"/>
        <v>317</v>
      </c>
      <c r="I50" s="475">
        <f t="shared" si="17"/>
        <v>194</v>
      </c>
      <c r="J50" s="475">
        <f t="shared" si="17"/>
        <v>77</v>
      </c>
      <c r="K50" s="475">
        <f t="shared" si="17"/>
        <v>214</v>
      </c>
      <c r="L50" s="475">
        <f t="shared" si="17"/>
        <v>30</v>
      </c>
      <c r="M50" s="475">
        <f t="shared" si="17"/>
        <v>49</v>
      </c>
      <c r="N50" s="475">
        <f t="shared" si="17"/>
        <v>604</v>
      </c>
      <c r="O50" s="475">
        <f t="shared" si="17"/>
        <v>323</v>
      </c>
      <c r="P50" s="475">
        <f t="shared" si="17"/>
        <v>1331</v>
      </c>
      <c r="Q50" s="475">
        <f t="shared" si="17"/>
        <v>665</v>
      </c>
      <c r="R50" s="475">
        <f t="shared" si="17"/>
        <v>1976</v>
      </c>
      <c r="S50" s="475">
        <f t="shared" si="17"/>
        <v>430</v>
      </c>
      <c r="T50" s="475">
        <f t="shared" si="17"/>
        <v>5</v>
      </c>
      <c r="U50" s="475">
        <f t="shared" si="17"/>
        <v>2</v>
      </c>
      <c r="V50" s="475">
        <f t="shared" si="17"/>
        <v>1688</v>
      </c>
      <c r="W50" s="475">
        <f t="shared" si="17"/>
        <v>255</v>
      </c>
      <c r="X50" s="475">
        <f t="shared" si="17"/>
        <v>19</v>
      </c>
      <c r="Y50" s="475">
        <f t="shared" si="17"/>
        <v>138</v>
      </c>
    </row>
    <row r="51" spans="1:25" s="40" customFormat="1" ht="11.25" customHeight="1">
      <c r="A51" s="671"/>
      <c r="B51" s="96" t="s">
        <v>123</v>
      </c>
      <c r="C51" s="307">
        <f t="shared" si="4"/>
        <v>5006</v>
      </c>
      <c r="D51" s="475">
        <f t="shared" si="5"/>
        <v>4979</v>
      </c>
      <c r="E51" s="475">
        <f>2+32</f>
        <v>34</v>
      </c>
      <c r="F51" s="475">
        <f>2+13</f>
        <v>15</v>
      </c>
      <c r="G51" s="475">
        <v>241</v>
      </c>
      <c r="H51" s="475">
        <v>157</v>
      </c>
      <c r="I51" s="475">
        <v>121</v>
      </c>
      <c r="J51" s="475">
        <v>53</v>
      </c>
      <c r="K51" s="475">
        <v>123</v>
      </c>
      <c r="L51" s="475">
        <v>22</v>
      </c>
      <c r="M51" s="475">
        <v>9</v>
      </c>
      <c r="N51" s="475">
        <v>415</v>
      </c>
      <c r="O51" s="475">
        <v>183</v>
      </c>
      <c r="P51" s="475">
        <v>829</v>
      </c>
      <c r="Q51" s="475">
        <v>414</v>
      </c>
      <c r="R51" s="475">
        <v>1165</v>
      </c>
      <c r="S51" s="475">
        <v>286</v>
      </c>
      <c r="T51" s="475">
        <v>2</v>
      </c>
      <c r="U51" s="475">
        <v>1</v>
      </c>
      <c r="V51" s="475">
        <v>766</v>
      </c>
      <c r="W51" s="475">
        <v>133</v>
      </c>
      <c r="X51" s="475">
        <v>10</v>
      </c>
      <c r="Y51" s="478">
        <v>27</v>
      </c>
    </row>
    <row r="52" spans="1:25" s="40" customFormat="1" ht="11.25" customHeight="1">
      <c r="A52" s="671"/>
      <c r="B52" s="96" t="s">
        <v>510</v>
      </c>
      <c r="C52" s="307">
        <f t="shared" si="4"/>
        <v>3865</v>
      </c>
      <c r="D52" s="475">
        <f t="shared" si="5"/>
        <v>3754</v>
      </c>
      <c r="E52" s="477">
        <f>1+17</f>
        <v>18</v>
      </c>
      <c r="F52" s="475">
        <f>2+22</f>
        <v>24</v>
      </c>
      <c r="G52" s="475">
        <v>222</v>
      </c>
      <c r="H52" s="475">
        <v>160</v>
      </c>
      <c r="I52" s="475">
        <v>73</v>
      </c>
      <c r="J52" s="475">
        <v>24</v>
      </c>
      <c r="K52" s="475">
        <v>91</v>
      </c>
      <c r="L52" s="475">
        <v>8</v>
      </c>
      <c r="M52" s="475">
        <v>40</v>
      </c>
      <c r="N52" s="475">
        <v>189</v>
      </c>
      <c r="O52" s="475">
        <v>140</v>
      </c>
      <c r="P52" s="475">
        <v>502</v>
      </c>
      <c r="Q52" s="475">
        <v>251</v>
      </c>
      <c r="R52" s="475">
        <v>811</v>
      </c>
      <c r="S52" s="475">
        <v>144</v>
      </c>
      <c r="T52" s="477">
        <v>3</v>
      </c>
      <c r="U52" s="475">
        <v>1</v>
      </c>
      <c r="V52" s="475">
        <v>922</v>
      </c>
      <c r="W52" s="475">
        <v>122</v>
      </c>
      <c r="X52" s="475">
        <v>9</v>
      </c>
      <c r="Y52" s="478">
        <v>111</v>
      </c>
    </row>
    <row r="53" spans="1:25" ht="1.5" customHeight="1" thickBot="1">
      <c r="A53" s="134"/>
      <c r="B53" s="135"/>
      <c r="C53" s="480"/>
      <c r="D53" s="4"/>
      <c r="E53" s="4"/>
      <c r="F53" s="4"/>
      <c r="G53" s="4"/>
      <c r="H53" s="4"/>
      <c r="I53" s="4"/>
      <c r="J53" s="4"/>
      <c r="K53" s="4"/>
      <c r="L53" s="4"/>
      <c r="M53" s="481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  <c r="Y53" s="3"/>
    </row>
    <row r="54" spans="1:23" s="189" customFormat="1" ht="12.75" customHeight="1">
      <c r="A54" s="187" t="s">
        <v>524</v>
      </c>
      <c r="B54" s="188"/>
      <c r="C54" s="188"/>
      <c r="D54" s="188"/>
      <c r="E54" s="188"/>
      <c r="F54" s="188"/>
      <c r="G54" s="188"/>
      <c r="M54" s="190" t="s">
        <v>783</v>
      </c>
      <c r="S54" s="191"/>
      <c r="T54" s="192"/>
      <c r="W54" s="193"/>
    </row>
  </sheetData>
  <mergeCells count="53">
    <mergeCell ref="I5:L5"/>
    <mergeCell ref="K6:L6"/>
    <mergeCell ref="A44:A46"/>
    <mergeCell ref="A38:A40"/>
    <mergeCell ref="A41:A43"/>
    <mergeCell ref="A26:A28"/>
    <mergeCell ref="A23:A25"/>
    <mergeCell ref="A29:A31"/>
    <mergeCell ref="P5:Q6"/>
    <mergeCell ref="R5:S6"/>
    <mergeCell ref="A7:A8"/>
    <mergeCell ref="E7:E8"/>
    <mergeCell ref="G7:G8"/>
    <mergeCell ref="I7:I8"/>
    <mergeCell ref="F7:F8"/>
    <mergeCell ref="H7:H8"/>
    <mergeCell ref="G5:H6"/>
    <mergeCell ref="N5:O6"/>
    <mergeCell ref="A2:L2"/>
    <mergeCell ref="M2:Y2"/>
    <mergeCell ref="D4:L4"/>
    <mergeCell ref="R4:S4"/>
    <mergeCell ref="Y4:Y7"/>
    <mergeCell ref="A5:A6"/>
    <mergeCell ref="B5:B6"/>
    <mergeCell ref="C5:C6"/>
    <mergeCell ref="D5:D6"/>
    <mergeCell ref="E5:F6"/>
    <mergeCell ref="T5:U6"/>
    <mergeCell ref="V5:W6"/>
    <mergeCell ref="X5:X7"/>
    <mergeCell ref="I6:J6"/>
    <mergeCell ref="J7:J8"/>
    <mergeCell ref="K7:L7"/>
    <mergeCell ref="O7:O8"/>
    <mergeCell ref="Q7:Q8"/>
    <mergeCell ref="U7:U8"/>
    <mergeCell ref="V7:V8"/>
    <mergeCell ref="W7:W8"/>
    <mergeCell ref="X8:X9"/>
    <mergeCell ref="R7:R8"/>
    <mergeCell ref="S7:S8"/>
    <mergeCell ref="T7:T8"/>
    <mergeCell ref="N7:N8"/>
    <mergeCell ref="P7:P8"/>
    <mergeCell ref="A47:A49"/>
    <mergeCell ref="A50:A52"/>
    <mergeCell ref="A11:A13"/>
    <mergeCell ref="A14:A16"/>
    <mergeCell ref="A17:A19"/>
    <mergeCell ref="A20:A22"/>
    <mergeCell ref="A32:A34"/>
    <mergeCell ref="A35:A37"/>
  </mergeCells>
  <printOptions horizontalCentered="1"/>
  <pageMargins left="1.1811023622047245" right="1.1811023622047245" top="1.5748031496062993" bottom="1.535433070866142" header="0.5118110236220472" footer="0.9055118110236221"/>
  <pageSetup firstPageNumber="4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2012-11-07T02:29:43Z</cp:lastPrinted>
  <dcterms:created xsi:type="dcterms:W3CDTF">1999-07-17T03:52:56Z</dcterms:created>
  <dcterms:modified xsi:type="dcterms:W3CDTF">2012-11-07T02:32:48Z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-521233644</vt:i4>
  </property>
  <property fmtid="{D5CDD505-2E9C-101B-9397-08002B2CF9AE}" pid="3" name="_EmailSubject">
    <vt:lpwstr>桃園縣統計要覽-人口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-596391931</vt:i4>
  </property>
  <property fmtid="{D5CDD505-2E9C-101B-9397-08002B2CF9AE}" pid="7" name="_ReviewingToolsShownOnce">
    <vt:lpwstr/>
  </property>
</Properties>
</file>