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6225" tabRatio="659" activeTab="0"/>
  </bookViews>
  <sheets>
    <sheet name="6-1金融機構存放款餘額" sheetId="1" r:id="rId1"/>
    <sheet name="6-2金融機構公佈" sheetId="2" r:id="rId2"/>
    <sheet name="6-3歲入預決算-按來源別分(預算)" sheetId="3" r:id="rId3"/>
    <sheet name="歲入預決算-按來源別分(續完)決算" sheetId="4" r:id="rId4"/>
    <sheet name="6-4歲出預決算-按政事別分(預算)" sheetId="5" r:id="rId5"/>
    <sheet name="6-4歲出預決算-按政事別分(預算)續完" sheetId="6" r:id="rId6"/>
    <sheet name="6-4歲出預決算-按政事別分(決算)" sheetId="7" r:id="rId7"/>
    <sheet name="6-4歲出預決算-按政事別分(決算)-續完" sheetId="8" r:id="rId8"/>
    <sheet name="6-5歷年財政狀況" sheetId="9" r:id="rId9"/>
    <sheet name="6-6各項稅捐實徵數" sheetId="10" r:id="rId10"/>
    <sheet name="6-7各項稅捐納庫數" sheetId="11" r:id="rId11"/>
    <sheet name="6-8本縣公庫收支-收入" sheetId="12" r:id="rId12"/>
    <sheet name="6-8本縣公庫收支-支出" sheetId="13" r:id="rId13"/>
    <sheet name="6-9各鄉鎮公庫收支-收入" sheetId="14" r:id="rId14"/>
    <sheet name="6-9各鄉鎮市公庫收支-支出" sheetId="15" r:id="rId15"/>
    <sheet name="6-10各鄉鎮市歲入預決算-按來源別分-預算" sheetId="16" r:id="rId16"/>
    <sheet name="6-10各鄉鎮市歲入預決算-按來源別分(決算)" sheetId="17" r:id="rId17"/>
    <sheet name="6-11各鄉鎮市歲出預決算-按政事別分(預算)" sheetId="18" r:id="rId18"/>
    <sheet name="6-11各鄉鎮市歲出預決算-按政事別分(預算)續完" sheetId="19" r:id="rId19"/>
    <sheet name="6-11各鄉鎮市歲出預決算-按政事別分(決算)" sheetId="20" r:id="rId20"/>
    <sheet name="6-11各鄉鎮市歲出預決算-按政事別分(決算)續完" sheetId="21" r:id="rId21"/>
    <sheet name="6-12本縣歷年總預算額" sheetId="22" r:id="rId22"/>
  </sheets>
  <definedNames>
    <definedName name="_xlnm.Print_Area" localSheetId="13">'6-9各鄉鎮公庫收支-收入'!$A$1:$R$37</definedName>
    <definedName name="_xlnm.Print_Area" localSheetId="3">'歲入預決算-按來源別分(續完)決算'!$A$1:$L$27</definedName>
  </definedNames>
  <calcPr fullCalcOnLoad="1"/>
</workbook>
</file>

<file path=xl/comments14.xml><?xml version="1.0" encoding="utf-8"?>
<comments xmlns="http://schemas.openxmlformats.org/spreadsheetml/2006/main">
  <authors>
    <author>175018</author>
  </authors>
  <commentList>
    <comment ref="R6" authorId="0">
      <text>
        <r>
          <rPr>
            <b/>
            <sz val="9"/>
            <rFont val="新細明體"/>
            <family val="1"/>
          </rPr>
          <t>175018:</t>
        </r>
        <r>
          <rPr>
            <sz val="9"/>
            <rFont val="新細明體"/>
            <family val="1"/>
          </rPr>
          <t xml:space="preserve">
含特別預算收入
不含賒借收入</t>
        </r>
      </text>
    </comment>
  </commentList>
</comments>
</file>

<file path=xl/comments16.xml><?xml version="1.0" encoding="utf-8"?>
<comments xmlns="http://schemas.openxmlformats.org/spreadsheetml/2006/main">
  <authors>
    <author>175018</author>
  </authors>
  <commentList>
    <comment ref="H28" authorId="0">
      <text>
        <r>
          <rPr>
            <b/>
            <sz val="9"/>
            <rFont val="新細明體"/>
            <family val="1"/>
          </rPr>
          <t>175018:</t>
        </r>
        <r>
          <rPr>
            <sz val="9"/>
            <rFont val="新細明體"/>
            <family val="1"/>
          </rPr>
          <t xml:space="preserve">
廢棄物清理費+水污染防治費</t>
        </r>
      </text>
    </comment>
  </commentList>
</comments>
</file>

<file path=xl/comments17.xml><?xml version="1.0" encoding="utf-8"?>
<comments xmlns="http://schemas.openxmlformats.org/spreadsheetml/2006/main">
  <authors>
    <author>175018</author>
  </authors>
  <commentList>
    <comment ref="G21" authorId="0">
      <text>
        <r>
          <rPr>
            <b/>
            <sz val="9"/>
            <rFont val="新細明體"/>
            <family val="1"/>
          </rPr>
          <t>175018:</t>
        </r>
        <r>
          <rPr>
            <sz val="9"/>
            <rFont val="新細明體"/>
            <family val="1"/>
          </rPr>
          <t xml:space="preserve">
水污染防治費</t>
        </r>
      </text>
    </comment>
  </commentList>
</comments>
</file>

<file path=xl/comments7.xml><?xml version="1.0" encoding="utf-8"?>
<comments xmlns="http://schemas.openxmlformats.org/spreadsheetml/2006/main">
  <authors>
    <author>175018</author>
  </authors>
  <commentList>
    <comment ref="A19" authorId="0">
      <text>
        <r>
          <rPr>
            <b/>
            <sz val="9"/>
            <rFont val="新細明體"/>
            <family val="1"/>
          </rPr>
          <t>175018:</t>
        </r>
        <r>
          <rPr>
            <sz val="9"/>
            <rFont val="新細明體"/>
            <family val="1"/>
          </rPr>
          <t xml:space="preserve">
P.己-22</t>
        </r>
      </text>
    </comment>
  </commentList>
</comments>
</file>

<file path=xl/comments9.xml><?xml version="1.0" encoding="utf-8"?>
<comments xmlns="http://schemas.openxmlformats.org/spreadsheetml/2006/main">
  <authors>
    <author>175018</author>
    <author>縣政府</author>
  </authors>
  <commentList>
    <comment ref="D16" authorId="0">
      <text>
        <r>
          <rPr>
            <b/>
            <sz val="9"/>
            <rFont val="新細明體"/>
            <family val="1"/>
          </rPr>
          <t>175018:</t>
        </r>
        <r>
          <rPr>
            <sz val="9"/>
            <rFont val="新細明體"/>
            <family val="1"/>
          </rPr>
          <t xml:space="preserve">
P.27 債務之償還</t>
        </r>
      </text>
    </comment>
    <comment ref="F16" authorId="0">
      <text>
        <r>
          <rPr>
            <b/>
            <sz val="9"/>
            <rFont val="新細明體"/>
            <family val="1"/>
          </rPr>
          <t>175018:</t>
        </r>
        <r>
          <rPr>
            <sz val="9"/>
            <rFont val="新細明體"/>
            <family val="1"/>
          </rPr>
          <t xml:space="preserve">
P.27債務之舉借</t>
        </r>
      </text>
    </comment>
    <comment ref="K16" authorId="0">
      <text>
        <r>
          <rPr>
            <b/>
            <sz val="9"/>
            <rFont val="新細明體"/>
            <family val="1"/>
          </rPr>
          <t>175018:</t>
        </r>
        <r>
          <rPr>
            <sz val="9"/>
            <rFont val="新細明體"/>
            <family val="1"/>
          </rPr>
          <t xml:space="preserve">
P.戊-9</t>
        </r>
      </text>
    </comment>
    <comment ref="D19" authorId="0">
      <text>
        <r>
          <rPr>
            <b/>
            <sz val="9"/>
            <rFont val="新細明體"/>
            <family val="1"/>
          </rPr>
          <t>175018:</t>
        </r>
        <r>
          <rPr>
            <sz val="9"/>
            <rFont val="新細明體"/>
            <family val="1"/>
          </rPr>
          <t xml:space="preserve">
P.37 債務之償還</t>
        </r>
      </text>
    </comment>
    <comment ref="J19" authorId="1">
      <text>
        <r>
          <rPr>
            <b/>
            <sz val="9"/>
            <rFont val="新細明體"/>
            <family val="1"/>
          </rPr>
          <t>縣政府:</t>
        </r>
        <r>
          <rPr>
            <sz val="9"/>
            <rFont val="新細明體"/>
            <family val="1"/>
          </rPr>
          <t xml:space="preserve">
p.39上級政府補助收入</t>
        </r>
      </text>
    </comment>
  </commentList>
</comments>
</file>

<file path=xl/sharedStrings.xml><?xml version="1.0" encoding="utf-8"?>
<sst xmlns="http://schemas.openxmlformats.org/spreadsheetml/2006/main" count="2485" uniqueCount="982">
  <si>
    <t>Civil Affairs Expenditure</t>
  </si>
  <si>
    <t>Financial Expenditure</t>
  </si>
  <si>
    <t>Expenditure for Education</t>
  </si>
  <si>
    <t>Science Expenditure</t>
  </si>
  <si>
    <t>Expenditure for Culture</t>
  </si>
  <si>
    <t>Expenditure for Agriculture</t>
  </si>
  <si>
    <t>Expenditure for Industry</t>
  </si>
  <si>
    <t>Expenditure for Communication</t>
  </si>
  <si>
    <t>Other Economic Service</t>
  </si>
  <si>
    <t>Expenditure for
Social Insurance</t>
  </si>
  <si>
    <t>Expenditure for
Social Relief</t>
  </si>
  <si>
    <t>　決　　算　</t>
  </si>
  <si>
    <t>Settled</t>
  </si>
  <si>
    <r>
      <t xml:space="preserve">    </t>
    </r>
    <r>
      <rPr>
        <sz val="9"/>
        <rFont val="華康粗圓體"/>
        <family val="3"/>
      </rPr>
      <t>民國</t>
    </r>
    <r>
      <rPr>
        <sz val="9"/>
        <rFont val="Arial Narrow"/>
        <family val="2"/>
      </rPr>
      <t>87</t>
    </r>
    <r>
      <rPr>
        <sz val="9"/>
        <rFont val="華康粗圓體"/>
        <family val="3"/>
      </rPr>
      <t xml:space="preserve">年度
</t>
    </r>
    <r>
      <rPr>
        <sz val="9"/>
        <rFont val="Arial Narrow"/>
        <family val="2"/>
      </rPr>
      <t>1998</t>
    </r>
  </si>
  <si>
    <r>
      <t xml:space="preserve">    93</t>
    </r>
    <r>
      <rPr>
        <sz val="9"/>
        <rFont val="華康粗圓體"/>
        <family val="3"/>
      </rPr>
      <t xml:space="preserve">年度
</t>
    </r>
    <r>
      <rPr>
        <sz val="9"/>
        <rFont val="Arial Narrow"/>
        <family val="2"/>
      </rPr>
      <t>2004</t>
    </r>
  </si>
  <si>
    <t>年度別</t>
  </si>
  <si>
    <t>福利服務
支　　出</t>
  </si>
  <si>
    <t>國民就業
支　　出</t>
  </si>
  <si>
    <t>社區發展
支　　出</t>
  </si>
  <si>
    <t>醫療保健
支　　出</t>
  </si>
  <si>
    <t>環境保護
支　　出</t>
  </si>
  <si>
    <t>退休撫卹
給付支出</t>
  </si>
  <si>
    <t>警政支出</t>
  </si>
  <si>
    <t>債務付息
支　　出</t>
  </si>
  <si>
    <t>協助支出</t>
  </si>
  <si>
    <t>專案補助
支　　出</t>
  </si>
  <si>
    <t>平衡預算
補助支出</t>
  </si>
  <si>
    <t>第　二
預備金</t>
  </si>
  <si>
    <t>其他支出</t>
  </si>
  <si>
    <t>Fiscal Year</t>
  </si>
  <si>
    <t>Expenditure for Beneficial Service</t>
  </si>
  <si>
    <t>Expenditure for Employment Service</t>
  </si>
  <si>
    <t>Community Development</t>
  </si>
  <si>
    <t>Expenditure for Public Health</t>
  </si>
  <si>
    <t>Expenditure for Environmental Protection</t>
  </si>
  <si>
    <t>Expenditure on Retirement and Pension</t>
  </si>
  <si>
    <t>Expenditure for Police Service</t>
  </si>
  <si>
    <t xml:space="preserve">Expenditure for Interest Payment </t>
  </si>
  <si>
    <t>Assistance</t>
  </si>
  <si>
    <t>Project Subsidies</t>
  </si>
  <si>
    <t>Subsidies for Balancing Budgets</t>
  </si>
  <si>
    <t>Second Reserve Fund</t>
  </si>
  <si>
    <t>Other Expenditure</t>
  </si>
  <si>
    <r>
      <t xml:space="preserve">    </t>
    </r>
    <r>
      <rPr>
        <sz val="9"/>
        <rFont val="華康粗圓體"/>
        <family val="3"/>
      </rPr>
      <t>民國</t>
    </r>
    <r>
      <rPr>
        <sz val="9"/>
        <rFont val="Arial Narrow"/>
        <family val="2"/>
      </rPr>
      <t>87</t>
    </r>
    <r>
      <rPr>
        <sz val="9"/>
        <rFont val="華康粗圓體"/>
        <family val="3"/>
      </rPr>
      <t xml:space="preserve">年度
</t>
    </r>
    <r>
      <rPr>
        <sz val="9"/>
        <rFont val="Arial Narrow"/>
        <family val="2"/>
      </rPr>
      <t>1998</t>
    </r>
  </si>
  <si>
    <r>
      <t>表</t>
    </r>
    <r>
      <rPr>
        <sz val="12"/>
        <rFont val="Arial"/>
        <family val="2"/>
      </rPr>
      <t>6-11</t>
    </r>
    <r>
      <rPr>
        <sz val="12"/>
        <rFont val="華康粗圓體"/>
        <family val="3"/>
      </rPr>
      <t>、各鄉鎮市歲出預決算－按政事別分</t>
    </r>
    <r>
      <rPr>
        <sz val="12"/>
        <rFont val="Arial"/>
        <family val="2"/>
      </rPr>
      <t>(</t>
    </r>
    <r>
      <rPr>
        <sz val="12"/>
        <rFont val="華康粗圓體"/>
        <family val="3"/>
      </rPr>
      <t>續完</t>
    </r>
    <r>
      <rPr>
        <sz val="12"/>
        <rFont val="Arial"/>
        <family val="2"/>
      </rPr>
      <t>)</t>
    </r>
  </si>
  <si>
    <r>
      <t>6-11</t>
    </r>
    <r>
      <rPr>
        <sz val="12"/>
        <rFont val="華康粗圓體"/>
        <family val="3"/>
      </rPr>
      <t>、</t>
    </r>
    <r>
      <rPr>
        <sz val="12"/>
        <rFont val="Arial"/>
        <family val="2"/>
      </rPr>
      <t>Budget and Settled Account of Expenditures of Township Offices (Cont.End)</t>
    </r>
  </si>
  <si>
    <t>　決　　算　</t>
  </si>
  <si>
    <t>Settled</t>
  </si>
  <si>
    <r>
      <t>資料來源：桃園縣各鄉鎮</t>
    </r>
    <r>
      <rPr>
        <sz val="9"/>
        <rFont val="Arial Narrow"/>
        <family val="2"/>
      </rPr>
      <t>(</t>
    </r>
    <r>
      <rPr>
        <sz val="9"/>
        <rFont val="華康中黑體"/>
        <family val="3"/>
      </rPr>
      <t>市</t>
    </r>
    <r>
      <rPr>
        <sz val="9"/>
        <rFont val="Arial Narrow"/>
        <family val="2"/>
      </rPr>
      <t>)</t>
    </r>
    <r>
      <rPr>
        <sz val="9"/>
        <rFont val="華康中黑體"/>
        <family val="3"/>
      </rPr>
      <t>總決算彙編</t>
    </r>
  </si>
  <si>
    <t>Source:Budget, Accounting &amp; Statistics office.</t>
  </si>
  <si>
    <r>
      <t>88</t>
    </r>
    <r>
      <rPr>
        <sz val="8.5"/>
        <rFont val="華康粗圓體"/>
        <family val="3"/>
      </rPr>
      <t>年下半年
及</t>
    </r>
    <r>
      <rPr>
        <sz val="8.5"/>
        <rFont val="Arial Narrow"/>
        <family val="2"/>
      </rPr>
      <t>89</t>
    </r>
    <r>
      <rPr>
        <sz val="8.5"/>
        <rFont val="華康粗圓體"/>
        <family val="3"/>
      </rPr>
      <t xml:space="preserve">年度
</t>
    </r>
    <r>
      <rPr>
        <sz val="7"/>
        <rFont val="Arial Narrow"/>
        <family val="2"/>
      </rPr>
      <t>07/01/1999~12/31/2000</t>
    </r>
  </si>
  <si>
    <r>
      <t>資料來源：桃園縣各鄉鎮</t>
    </r>
    <r>
      <rPr>
        <sz val="9"/>
        <rFont val="Arial Narrow"/>
        <family val="2"/>
      </rPr>
      <t>(</t>
    </r>
    <r>
      <rPr>
        <sz val="9"/>
        <rFont val="華康中黑體"/>
        <family val="3"/>
      </rPr>
      <t>市</t>
    </r>
    <r>
      <rPr>
        <sz val="9"/>
        <rFont val="Arial Narrow"/>
        <family val="2"/>
      </rPr>
      <t>)</t>
    </r>
    <r>
      <rPr>
        <sz val="9"/>
        <rFont val="華康中黑體"/>
        <family val="3"/>
      </rPr>
      <t>總預算彙編，桃園縣各鄉鎮</t>
    </r>
    <r>
      <rPr>
        <sz val="9"/>
        <rFont val="Arial Narrow"/>
        <family val="2"/>
      </rPr>
      <t>(</t>
    </r>
    <r>
      <rPr>
        <sz val="9"/>
        <rFont val="華康中黑體"/>
        <family val="3"/>
      </rPr>
      <t>市</t>
    </r>
    <r>
      <rPr>
        <sz val="9"/>
        <rFont val="Arial Narrow"/>
        <family val="2"/>
      </rPr>
      <t>)</t>
    </r>
    <r>
      <rPr>
        <sz val="9"/>
        <rFont val="華康中黑體"/>
        <family val="3"/>
      </rPr>
      <t>追加減預算資料。</t>
    </r>
  </si>
  <si>
    <t>Source:Budgets of all cities under Taoyuan County's jurisdiction and their reapportionments.</t>
  </si>
  <si>
    <t>福利服務
支　　出</t>
  </si>
  <si>
    <t>國民就業
支　　出</t>
  </si>
  <si>
    <t>社區發展
支　　出</t>
  </si>
  <si>
    <t>醫療保健
支　　出</t>
  </si>
  <si>
    <t>環境保護
支　　出</t>
  </si>
  <si>
    <t>退休撫卹
給付支出</t>
  </si>
  <si>
    <t>警政支出</t>
  </si>
  <si>
    <t>債務付息
支　　出</t>
  </si>
  <si>
    <t>協助支出</t>
  </si>
  <si>
    <t>專案補助
支　　出</t>
  </si>
  <si>
    <t>平衡預算
補助支出</t>
  </si>
  <si>
    <t>第　二
預備金</t>
  </si>
  <si>
    <t>其他支出</t>
  </si>
  <si>
    <t>Expenditure for Beneficial Service</t>
  </si>
  <si>
    <t>Expenditure for Employment Service</t>
  </si>
  <si>
    <t>Community Development</t>
  </si>
  <si>
    <t>Expenditure for Public Health</t>
  </si>
  <si>
    <t>Expenditure
for Environmental Protection</t>
  </si>
  <si>
    <t>Expenditure on Retirement and Pension</t>
  </si>
  <si>
    <t>Police Administration</t>
  </si>
  <si>
    <t xml:space="preserve">Expenditure for Interest Payment </t>
  </si>
  <si>
    <t>Assistance</t>
  </si>
  <si>
    <t>Project Subsidies</t>
  </si>
  <si>
    <t>Subsidies for Balancing Budgets</t>
  </si>
  <si>
    <t>Second Reserve Fund</t>
  </si>
  <si>
    <t>Other Expenditure</t>
  </si>
  <si>
    <r>
      <t xml:space="preserve">    </t>
    </r>
    <r>
      <rPr>
        <sz val="8.5"/>
        <rFont val="華康粗圓體"/>
        <family val="3"/>
      </rPr>
      <t>民國</t>
    </r>
    <r>
      <rPr>
        <sz val="8.5"/>
        <rFont val="Arial Narrow"/>
        <family val="2"/>
      </rPr>
      <t>87</t>
    </r>
    <r>
      <rPr>
        <sz val="8.5"/>
        <rFont val="華康粗圓體"/>
        <family val="3"/>
      </rPr>
      <t>年度</t>
    </r>
  </si>
  <si>
    <r>
      <t>原預算</t>
    </r>
    <r>
      <rPr>
        <sz val="7.5"/>
        <rFont val="Arial Narrow"/>
        <family val="2"/>
      </rPr>
      <t xml:space="preserve"> Original Budgets</t>
    </r>
  </si>
  <si>
    <r>
      <t>表</t>
    </r>
    <r>
      <rPr>
        <sz val="12"/>
        <rFont val="Arial"/>
        <family val="2"/>
      </rPr>
      <t>6-11</t>
    </r>
    <r>
      <rPr>
        <sz val="12"/>
        <rFont val="華康粗圓體"/>
        <family val="3"/>
      </rPr>
      <t>、各鄉鎮市歲出預決算－按政事別分</t>
    </r>
    <r>
      <rPr>
        <sz val="12"/>
        <rFont val="Arial"/>
        <family val="2"/>
      </rPr>
      <t>(</t>
    </r>
    <r>
      <rPr>
        <sz val="12"/>
        <rFont val="華康粗圓體"/>
        <family val="3"/>
      </rPr>
      <t>續一</t>
    </r>
    <r>
      <rPr>
        <sz val="12"/>
        <rFont val="Arial"/>
        <family val="2"/>
      </rPr>
      <t>)</t>
    </r>
  </si>
  <si>
    <r>
      <t>6-11</t>
    </r>
    <r>
      <rPr>
        <sz val="11.5"/>
        <rFont val="華康粗圓體"/>
        <family val="3"/>
      </rPr>
      <t>、</t>
    </r>
    <r>
      <rPr>
        <sz val="11.5"/>
        <rFont val="Arial"/>
        <family val="2"/>
      </rPr>
      <t>Budget and Settled Account of Expenditures of Township Offices(Cont.1)</t>
    </r>
  </si>
  <si>
    <r>
      <t>6-11</t>
    </r>
    <r>
      <rPr>
        <sz val="11.5"/>
        <rFont val="華康粗圓體"/>
        <family val="3"/>
      </rPr>
      <t>、</t>
    </r>
    <r>
      <rPr>
        <sz val="11.5"/>
        <rFont val="Arial"/>
        <family val="2"/>
      </rPr>
      <t>Budget and Settled Account of Expenditures of Township Offices(Cont.2)</t>
    </r>
  </si>
  <si>
    <r>
      <t xml:space="preserve">  88</t>
    </r>
    <r>
      <rPr>
        <sz val="9"/>
        <rFont val="華康粗圓體"/>
        <family val="3"/>
      </rPr>
      <t>年下半年
及</t>
    </r>
    <r>
      <rPr>
        <sz val="9"/>
        <rFont val="Arial Narrow"/>
        <family val="2"/>
      </rPr>
      <t>89</t>
    </r>
    <r>
      <rPr>
        <sz val="9"/>
        <rFont val="華康粗圓體"/>
        <family val="3"/>
      </rPr>
      <t xml:space="preserve">年度
</t>
    </r>
    <r>
      <rPr>
        <sz val="9"/>
        <rFont val="Arial Narrow"/>
        <family val="2"/>
      </rPr>
      <t>07/01/1999~12/31/2000</t>
    </r>
  </si>
  <si>
    <r>
      <t>原</t>
    </r>
    <r>
      <rPr>
        <sz val="9"/>
        <rFont val="Arial Narrow"/>
        <family val="2"/>
      </rPr>
      <t xml:space="preserve"> </t>
    </r>
    <r>
      <rPr>
        <sz val="9"/>
        <rFont val="華康粗圓體"/>
        <family val="3"/>
      </rPr>
      <t>預</t>
    </r>
    <r>
      <rPr>
        <sz val="9"/>
        <rFont val="Arial Narrow"/>
        <family val="2"/>
      </rPr>
      <t xml:space="preserve"> </t>
    </r>
    <r>
      <rPr>
        <sz val="9"/>
        <rFont val="華康粗圓體"/>
        <family val="3"/>
      </rPr>
      <t>算</t>
    </r>
    <r>
      <rPr>
        <sz val="9"/>
        <rFont val="Arial Narrow"/>
        <family val="2"/>
      </rPr>
      <t xml:space="preserve"> </t>
    </r>
    <r>
      <rPr>
        <sz val="9"/>
        <rFont val="華康粗圓體"/>
        <family val="3"/>
      </rPr>
      <t>額</t>
    </r>
  </si>
  <si>
    <t>追加減預算數</t>
  </si>
  <si>
    <t>追加減後預算數</t>
  </si>
  <si>
    <r>
      <t>年</t>
    </r>
    <r>
      <rPr>
        <sz val="9"/>
        <rFont val="Arial Narrow"/>
        <family val="2"/>
      </rPr>
      <t xml:space="preserve"> </t>
    </r>
    <r>
      <rPr>
        <sz val="9"/>
        <rFont val="華康粗圓體"/>
        <family val="3"/>
      </rPr>
      <t>度</t>
    </r>
    <r>
      <rPr>
        <sz val="9"/>
        <rFont val="Arial Narrow"/>
        <family val="2"/>
      </rPr>
      <t xml:space="preserve"> </t>
    </r>
    <r>
      <rPr>
        <sz val="9"/>
        <rFont val="華康粗圓體"/>
        <family val="3"/>
      </rPr>
      <t>預</t>
    </r>
    <r>
      <rPr>
        <sz val="9"/>
        <rFont val="Arial Narrow"/>
        <family val="2"/>
      </rPr>
      <t xml:space="preserve"> </t>
    </r>
    <r>
      <rPr>
        <sz val="9"/>
        <rFont val="華康粗圓體"/>
        <family val="3"/>
      </rPr>
      <t>算</t>
    </r>
    <r>
      <rPr>
        <sz val="9"/>
        <rFont val="Arial Narrow"/>
        <family val="2"/>
      </rPr>
      <t xml:space="preserve"> </t>
    </r>
    <r>
      <rPr>
        <sz val="9"/>
        <rFont val="華康粗圓體"/>
        <family val="3"/>
      </rPr>
      <t>增</t>
    </r>
    <r>
      <rPr>
        <sz val="9"/>
        <rFont val="Arial Narrow"/>
        <family val="2"/>
      </rPr>
      <t xml:space="preserve"> </t>
    </r>
    <r>
      <rPr>
        <sz val="9"/>
        <rFont val="華康粗圓體"/>
        <family val="3"/>
      </rPr>
      <t>減</t>
    </r>
    <r>
      <rPr>
        <sz val="9"/>
        <rFont val="Arial Narrow"/>
        <family val="2"/>
      </rPr>
      <t xml:space="preserve"> </t>
    </r>
    <r>
      <rPr>
        <sz val="9"/>
        <rFont val="華康粗圓體"/>
        <family val="3"/>
      </rPr>
      <t>比</t>
    </r>
    <r>
      <rPr>
        <sz val="9"/>
        <rFont val="Arial Narrow"/>
        <family val="2"/>
      </rPr>
      <t xml:space="preserve"> </t>
    </r>
    <r>
      <rPr>
        <sz val="9"/>
        <rFont val="華康粗圓體"/>
        <family val="3"/>
      </rPr>
      <t xml:space="preserve">較
</t>
    </r>
    <r>
      <rPr>
        <sz val="9"/>
        <rFont val="Arial Narrow"/>
        <family val="2"/>
      </rPr>
      <t>Budgets before/after Reapportionments</t>
    </r>
  </si>
  <si>
    <r>
      <t>會</t>
    </r>
    <r>
      <rPr>
        <sz val="9"/>
        <rFont val="Arial Narrow"/>
        <family val="2"/>
      </rPr>
      <t xml:space="preserve"> </t>
    </r>
    <r>
      <rPr>
        <sz val="9"/>
        <rFont val="華康粗圓體"/>
        <family val="3"/>
      </rPr>
      <t>計</t>
    </r>
    <r>
      <rPr>
        <sz val="9"/>
        <rFont val="Arial Narrow"/>
        <family val="2"/>
      </rPr>
      <t xml:space="preserve"> </t>
    </r>
    <r>
      <rPr>
        <sz val="9"/>
        <rFont val="華康粗圓體"/>
        <family val="3"/>
      </rPr>
      <t>年</t>
    </r>
    <r>
      <rPr>
        <sz val="9"/>
        <rFont val="Arial Narrow"/>
        <family val="2"/>
      </rPr>
      <t xml:space="preserve"> </t>
    </r>
    <r>
      <rPr>
        <sz val="9"/>
        <rFont val="華康粗圓體"/>
        <family val="3"/>
      </rPr>
      <t>度</t>
    </r>
    <r>
      <rPr>
        <sz val="9"/>
        <rFont val="Arial Narrow"/>
        <family val="2"/>
      </rPr>
      <t xml:space="preserve"> </t>
    </r>
    <r>
      <rPr>
        <sz val="9"/>
        <rFont val="華康粗圓體"/>
        <family val="3"/>
      </rPr>
      <t>別</t>
    </r>
  </si>
  <si>
    <r>
      <t>增</t>
    </r>
    <r>
      <rPr>
        <sz val="9"/>
        <rFont val="Arial Narrow"/>
        <family val="2"/>
      </rPr>
      <t xml:space="preserve">  </t>
    </r>
    <r>
      <rPr>
        <sz val="9"/>
        <rFont val="華康粗圓體"/>
        <family val="3"/>
      </rPr>
      <t>減</t>
    </r>
    <r>
      <rPr>
        <sz val="9"/>
        <rFont val="Arial Narrow"/>
        <family val="2"/>
      </rPr>
      <t xml:space="preserve">  </t>
    </r>
    <r>
      <rPr>
        <sz val="9"/>
        <rFont val="華康粗圓體"/>
        <family val="3"/>
      </rPr>
      <t>額</t>
    </r>
  </si>
  <si>
    <r>
      <t>民國</t>
    </r>
    <r>
      <rPr>
        <sz val="9"/>
        <rFont val="Arial Narrow"/>
        <family val="2"/>
      </rPr>
      <t>87</t>
    </r>
    <r>
      <rPr>
        <sz val="9"/>
        <rFont val="華康粗圓體"/>
        <family val="3"/>
      </rPr>
      <t>年度</t>
    </r>
    <r>
      <rPr>
        <sz val="9"/>
        <rFont val="Arial Narrow"/>
        <family val="2"/>
      </rPr>
      <t>1998</t>
    </r>
  </si>
  <si>
    <r>
      <t>88</t>
    </r>
    <r>
      <rPr>
        <sz val="9"/>
        <rFont val="華康粗圓體"/>
        <family val="3"/>
      </rPr>
      <t>年度</t>
    </r>
    <r>
      <rPr>
        <sz val="9"/>
        <rFont val="Arial Narrow"/>
        <family val="2"/>
      </rPr>
      <t>1999</t>
    </r>
  </si>
  <si>
    <r>
      <t>93</t>
    </r>
    <r>
      <rPr>
        <sz val="9"/>
        <rFont val="華康粗圓體"/>
        <family val="3"/>
      </rPr>
      <t>年度</t>
    </r>
    <r>
      <rPr>
        <sz val="9"/>
        <rFont val="Arial Narrow"/>
        <family val="2"/>
      </rPr>
      <t>2004</t>
    </r>
  </si>
  <si>
    <r>
      <t>97</t>
    </r>
    <r>
      <rPr>
        <sz val="9"/>
        <rFont val="華康粗圓體"/>
        <family val="3"/>
      </rPr>
      <t>年度</t>
    </r>
    <r>
      <rPr>
        <sz val="9"/>
        <rFont val="Arial Narrow"/>
        <family val="2"/>
      </rPr>
      <t>2008</t>
    </r>
  </si>
  <si>
    <t>資料來源：根據本府主計室資料。</t>
  </si>
  <si>
    <r>
      <t>附　　註：</t>
    </r>
    <r>
      <rPr>
        <sz val="9"/>
        <rFont val="Arial Narrow"/>
        <family val="2"/>
      </rPr>
      <t>90</t>
    </r>
    <r>
      <rPr>
        <sz val="9"/>
        <rFont val="華康中黑體"/>
        <family val="3"/>
      </rPr>
      <t>年度起會計年度改為每年</t>
    </r>
    <r>
      <rPr>
        <sz val="9"/>
        <rFont val="Arial Narrow"/>
        <family val="2"/>
      </rPr>
      <t>1</t>
    </r>
    <r>
      <rPr>
        <sz val="9"/>
        <rFont val="華康中黑體"/>
        <family val="3"/>
      </rPr>
      <t>月</t>
    </r>
    <r>
      <rPr>
        <sz val="9"/>
        <rFont val="Arial Narrow"/>
        <family val="2"/>
      </rPr>
      <t>1</t>
    </r>
    <r>
      <rPr>
        <sz val="9"/>
        <rFont val="華康中黑體"/>
        <family val="3"/>
      </rPr>
      <t>日至</t>
    </r>
    <r>
      <rPr>
        <sz val="9"/>
        <rFont val="Arial Narrow"/>
        <family val="2"/>
      </rPr>
      <t>12</t>
    </r>
    <r>
      <rPr>
        <sz val="9"/>
        <rFont val="華康中黑體"/>
        <family val="3"/>
      </rPr>
      <t>月</t>
    </r>
    <r>
      <rPr>
        <sz val="9"/>
        <rFont val="Arial Narrow"/>
        <family val="2"/>
      </rPr>
      <t>31</t>
    </r>
    <r>
      <rPr>
        <sz val="9"/>
        <rFont val="華康中黑體"/>
        <family val="3"/>
      </rPr>
      <t>日止。</t>
    </r>
  </si>
  <si>
    <t>Source: the auditing dept. of the county.</t>
  </si>
  <si>
    <t>Note: Starting 2001, the fiscal year begins on January 1 and ends on December 31.</t>
  </si>
  <si>
    <t>金額單位：新台幣千元</t>
  </si>
  <si>
    <r>
      <t>88</t>
    </r>
    <r>
      <rPr>
        <sz val="9"/>
        <rFont val="華康粗圓體"/>
        <family val="3"/>
      </rPr>
      <t>年下半年
及</t>
    </r>
    <r>
      <rPr>
        <sz val="9"/>
        <rFont val="Arial Narrow"/>
        <family val="2"/>
      </rPr>
      <t>89</t>
    </r>
    <r>
      <rPr>
        <sz val="9"/>
        <rFont val="華康粗圓體"/>
        <family val="3"/>
      </rPr>
      <t xml:space="preserve">年度
</t>
    </r>
    <r>
      <rPr>
        <sz val="8"/>
        <rFont val="Arial Narrow"/>
        <family val="2"/>
      </rPr>
      <t>07/01/1999~12/31/2000</t>
    </r>
  </si>
  <si>
    <r>
      <t>表</t>
    </r>
    <r>
      <rPr>
        <sz val="12"/>
        <rFont val="Arial"/>
        <family val="2"/>
      </rPr>
      <t xml:space="preserve"> 6-12</t>
    </r>
    <r>
      <rPr>
        <sz val="12"/>
        <rFont val="華康粗圓體"/>
        <family val="3"/>
      </rPr>
      <t>、</t>
    </r>
    <r>
      <rPr>
        <sz val="12"/>
        <rFont val="Arial"/>
        <family val="2"/>
      </rPr>
      <t xml:space="preserve"> </t>
    </r>
    <r>
      <rPr>
        <sz val="12"/>
        <rFont val="華康粗圓體"/>
        <family val="3"/>
      </rPr>
      <t xml:space="preserve">本縣歷年總預算額
</t>
    </r>
    <r>
      <rPr>
        <sz val="12"/>
        <rFont val="Arial"/>
        <family val="2"/>
      </rPr>
      <t>6-12</t>
    </r>
    <r>
      <rPr>
        <sz val="12"/>
        <rFont val="華康粗圓體"/>
        <family val="3"/>
      </rPr>
      <t>、</t>
    </r>
    <r>
      <rPr>
        <sz val="12"/>
        <rFont val="Arial"/>
        <family val="2"/>
      </rPr>
      <t>Budgets over the Years</t>
    </r>
  </si>
  <si>
    <t>專案補助
支　　出</t>
  </si>
  <si>
    <t>平衡預算
補助支出</t>
  </si>
  <si>
    <t>第　二
預備金</t>
  </si>
  <si>
    <t>其他支出</t>
  </si>
  <si>
    <t>Fiscal Year</t>
  </si>
  <si>
    <t>Expenditure for Beneficial Service</t>
  </si>
  <si>
    <t>Expenditure for Employment Service</t>
  </si>
  <si>
    <t>Expenditure for Public Health</t>
  </si>
  <si>
    <t>Community Development</t>
  </si>
  <si>
    <t>Expenditure for Environmental Protection</t>
  </si>
  <si>
    <t>Expenditure on Retirement and Pension</t>
  </si>
  <si>
    <t>Expenditure for Police Service</t>
  </si>
  <si>
    <t xml:space="preserve">Expenditure for Interest Payment </t>
  </si>
  <si>
    <t>Expenditure for Assistance</t>
  </si>
  <si>
    <t>Expenditure for Transfers of Special Characters</t>
  </si>
  <si>
    <t>Expenditure for Transfers of General characters</t>
  </si>
  <si>
    <t>Second Reserve Fund</t>
  </si>
  <si>
    <t>Other Expenditure</t>
  </si>
  <si>
    <r>
      <t xml:space="preserve">    </t>
    </r>
    <r>
      <rPr>
        <sz val="9"/>
        <rFont val="華康粗圓體"/>
        <family val="3"/>
      </rPr>
      <t>民國</t>
    </r>
    <r>
      <rPr>
        <sz val="9"/>
        <rFont val="Arial Narrow"/>
        <family val="2"/>
      </rPr>
      <t>87</t>
    </r>
    <r>
      <rPr>
        <sz val="9"/>
        <rFont val="華康粗圓體"/>
        <family val="3"/>
      </rPr>
      <t xml:space="preserve">年度
</t>
    </r>
    <r>
      <rPr>
        <sz val="9"/>
        <rFont val="Arial Narrow"/>
        <family val="2"/>
      </rPr>
      <t>1998</t>
    </r>
  </si>
  <si>
    <t>－</t>
  </si>
  <si>
    <r>
      <t>民國</t>
    </r>
    <r>
      <rPr>
        <sz val="9"/>
        <rFont val="Arial Narrow"/>
        <family val="2"/>
      </rPr>
      <t>87</t>
    </r>
    <r>
      <rPr>
        <sz val="9"/>
        <rFont val="華康粗圓體"/>
        <family val="3"/>
      </rPr>
      <t xml:space="preserve">年度
</t>
    </r>
    <r>
      <rPr>
        <sz val="9"/>
        <rFont val="Arial Narrow"/>
        <family val="2"/>
      </rPr>
      <t>1998</t>
    </r>
  </si>
  <si>
    <r>
      <t>88</t>
    </r>
    <r>
      <rPr>
        <sz val="9"/>
        <rFont val="華康粗圓體"/>
        <family val="3"/>
      </rPr>
      <t xml:space="preserve">年度
</t>
    </r>
    <r>
      <rPr>
        <sz val="9"/>
        <rFont val="Arial Narrow"/>
        <family val="2"/>
      </rPr>
      <t>1999</t>
    </r>
  </si>
  <si>
    <r>
      <t xml:space="preserve">  88</t>
    </r>
    <r>
      <rPr>
        <sz val="9"/>
        <rFont val="華康粗圓體"/>
        <family val="3"/>
      </rPr>
      <t xml:space="preserve">年下半年及
</t>
    </r>
    <r>
      <rPr>
        <sz val="9"/>
        <rFont val="Arial Narrow"/>
        <family val="2"/>
      </rPr>
      <t>89</t>
    </r>
    <r>
      <rPr>
        <sz val="9"/>
        <rFont val="華康粗圓體"/>
        <family val="3"/>
      </rPr>
      <t xml:space="preserve">年度
</t>
    </r>
    <r>
      <rPr>
        <sz val="9"/>
        <rFont val="Arial Narrow"/>
        <family val="2"/>
      </rPr>
      <t>07/01/1999~12/31/2000</t>
    </r>
  </si>
  <si>
    <r>
      <t>90</t>
    </r>
    <r>
      <rPr>
        <sz val="9"/>
        <rFont val="華康粗圓體"/>
        <family val="3"/>
      </rPr>
      <t xml:space="preserve">年度
</t>
    </r>
    <r>
      <rPr>
        <sz val="9"/>
        <rFont val="Arial Narrow"/>
        <family val="2"/>
      </rPr>
      <t>2001</t>
    </r>
  </si>
  <si>
    <r>
      <t>91</t>
    </r>
    <r>
      <rPr>
        <sz val="9"/>
        <rFont val="華康粗圓體"/>
        <family val="3"/>
      </rPr>
      <t xml:space="preserve">年度
</t>
    </r>
    <r>
      <rPr>
        <sz val="9"/>
        <rFont val="Arial Narrow"/>
        <family val="2"/>
      </rPr>
      <t>2002</t>
    </r>
  </si>
  <si>
    <r>
      <t>92</t>
    </r>
    <r>
      <rPr>
        <sz val="9"/>
        <rFont val="華康粗圓體"/>
        <family val="3"/>
      </rPr>
      <t xml:space="preserve">年度
</t>
    </r>
    <r>
      <rPr>
        <sz val="9"/>
        <rFont val="Arial Narrow"/>
        <family val="2"/>
      </rPr>
      <t>2003</t>
    </r>
  </si>
  <si>
    <r>
      <t>93</t>
    </r>
    <r>
      <rPr>
        <sz val="9"/>
        <rFont val="華康粗圓體"/>
        <family val="3"/>
      </rPr>
      <t xml:space="preserve">年度
</t>
    </r>
    <r>
      <rPr>
        <sz val="9"/>
        <rFont val="Arial Narrow"/>
        <family val="2"/>
      </rPr>
      <t>2004</t>
    </r>
  </si>
  <si>
    <r>
      <t>94</t>
    </r>
    <r>
      <rPr>
        <sz val="9"/>
        <rFont val="華康粗圓體"/>
        <family val="3"/>
      </rPr>
      <t xml:space="preserve">年度
</t>
    </r>
    <r>
      <rPr>
        <sz val="9"/>
        <rFont val="Arial Narrow"/>
        <family val="2"/>
      </rPr>
      <t>2005</t>
    </r>
  </si>
  <si>
    <r>
      <t>95</t>
    </r>
    <r>
      <rPr>
        <sz val="9"/>
        <rFont val="華康粗圓體"/>
        <family val="3"/>
      </rPr>
      <t xml:space="preserve">年度
</t>
    </r>
    <r>
      <rPr>
        <sz val="9"/>
        <rFont val="Arial Narrow"/>
        <family val="2"/>
      </rPr>
      <t>2006</t>
    </r>
  </si>
  <si>
    <r>
      <t>96</t>
    </r>
    <r>
      <rPr>
        <sz val="9"/>
        <rFont val="華康粗圓體"/>
        <family val="3"/>
      </rPr>
      <t xml:space="preserve">年度
</t>
    </r>
    <r>
      <rPr>
        <sz val="9"/>
        <rFont val="Arial Narrow"/>
        <family val="2"/>
      </rPr>
      <t>2007</t>
    </r>
  </si>
  <si>
    <r>
      <t>表</t>
    </r>
    <r>
      <rPr>
        <sz val="12"/>
        <rFont val="Arial"/>
        <family val="2"/>
      </rPr>
      <t>6-5</t>
    </r>
    <r>
      <rPr>
        <sz val="12"/>
        <rFont val="華康粗圓體"/>
        <family val="3"/>
      </rPr>
      <t>、歷年財政狀況</t>
    </r>
  </si>
  <si>
    <r>
      <t>6-5</t>
    </r>
    <r>
      <rPr>
        <sz val="12"/>
        <rFont val="華康粗圓體"/>
        <family val="3"/>
      </rPr>
      <t>、</t>
    </r>
    <r>
      <rPr>
        <sz val="12"/>
        <rFont val="Arial"/>
        <family val="2"/>
      </rPr>
      <t>Collection of Finance</t>
    </r>
  </si>
  <si>
    <t>年度別</t>
  </si>
  <si>
    <t>融　資　調　度　需　求</t>
  </si>
  <si>
    <t>　　　融　資　調　度</t>
  </si>
  <si>
    <t>財　源　　</t>
  </si>
  <si>
    <r>
      <t xml:space="preserve">自有財源比率
</t>
    </r>
    <r>
      <rPr>
        <sz val="9"/>
        <rFont val="Arial Narrow"/>
        <family val="2"/>
      </rPr>
      <t>(%)</t>
    </r>
  </si>
  <si>
    <r>
      <t xml:space="preserve">賦稅依存度
</t>
    </r>
    <r>
      <rPr>
        <sz val="9"/>
        <rFont val="Arial Narrow"/>
        <family val="2"/>
      </rPr>
      <t>(%)</t>
    </r>
  </si>
  <si>
    <r>
      <t xml:space="preserve">補助依存度
</t>
    </r>
    <r>
      <rPr>
        <sz val="9"/>
        <rFont val="Arial Narrow"/>
        <family val="2"/>
      </rPr>
      <t>(%)</t>
    </r>
  </si>
  <si>
    <t>債務未償餘額</t>
  </si>
  <si>
    <t>Borrowing Scheduling Requirements</t>
  </si>
  <si>
    <t>歲入歲出差短</t>
  </si>
  <si>
    <t>債務還本</t>
  </si>
  <si>
    <t>Borrowing Scheduling Finance</t>
  </si>
  <si>
    <t>賒借收入</t>
  </si>
  <si>
    <t>移用以前年度
歲計賸餘</t>
  </si>
  <si>
    <t>Debt not repay remainder</t>
  </si>
  <si>
    <r>
      <t xml:space="preserve">占歲出
</t>
    </r>
    <r>
      <rPr>
        <sz val="9"/>
        <rFont val="Arial Narrow"/>
        <family val="2"/>
      </rPr>
      <t>(%)</t>
    </r>
  </si>
  <si>
    <t>Notes: 1. This is a new table added in 2002.</t>
  </si>
  <si>
    <t xml:space="preserve">                previous years while expenditures do not include repayments of debts.</t>
  </si>
  <si>
    <r>
      <t>備註：</t>
    </r>
    <r>
      <rPr>
        <sz val="9"/>
        <rFont val="Arial Narrow"/>
        <family val="2"/>
      </rPr>
      <t>1.91</t>
    </r>
    <r>
      <rPr>
        <sz val="9"/>
        <rFont val="華康中黑體"/>
        <family val="3"/>
      </rPr>
      <t>年度新增表</t>
    </r>
  </si>
  <si>
    <r>
      <t>　　</t>
    </r>
    <r>
      <rPr>
        <sz val="9"/>
        <rFont val="Arial Narrow"/>
        <family val="2"/>
      </rPr>
      <t xml:space="preserve">   2. Starting second half of 1999, revenues do not include bond, purchases on credit and funds carried forward from </t>
    </r>
  </si>
  <si>
    <r>
      <t>　　</t>
    </r>
    <r>
      <rPr>
        <sz val="9"/>
        <rFont val="Arial Narrow"/>
        <family val="2"/>
      </rPr>
      <t xml:space="preserve">   4. Definitions: Form have finance = actual revenue/expenditure*100</t>
    </r>
  </si>
  <si>
    <r>
      <t>　　　　　　　</t>
    </r>
    <r>
      <rPr>
        <sz val="9"/>
        <rFont val="Arial Narrow"/>
        <family val="2"/>
      </rPr>
      <t xml:space="preserve">  Taxex adhere degree = taxation revenue/expenditure*100</t>
    </r>
  </si>
  <si>
    <r>
      <t>　　　　　　　</t>
    </r>
    <r>
      <rPr>
        <sz val="9"/>
        <rFont val="Arial Narrow"/>
        <family val="2"/>
      </rPr>
      <t xml:space="preserve">  Complement adhere degree = subsidy revenue/expenditure*100</t>
    </r>
  </si>
  <si>
    <t>單位：千元；％</t>
  </si>
  <si>
    <r>
      <t>Unit :NT</t>
    </r>
    <r>
      <rPr>
        <sz val="9"/>
        <rFont val="華康中黑體"/>
        <family val="3"/>
      </rPr>
      <t>＄</t>
    </r>
    <r>
      <rPr>
        <sz val="9"/>
        <rFont val="Arial Narrow"/>
        <family val="2"/>
      </rPr>
      <t>1000:%</t>
    </r>
  </si>
  <si>
    <r>
      <t>　　　</t>
    </r>
    <r>
      <rPr>
        <sz val="9"/>
        <rFont val="Arial Narrow"/>
        <family val="2"/>
      </rPr>
      <t>2.88</t>
    </r>
    <r>
      <rPr>
        <sz val="9"/>
        <rFont val="華康中黑體"/>
        <family val="3"/>
      </rPr>
      <t>下半年及</t>
    </r>
    <r>
      <rPr>
        <sz val="9"/>
        <rFont val="Arial Narrow"/>
        <family val="2"/>
      </rPr>
      <t>89</t>
    </r>
    <r>
      <rPr>
        <sz val="9"/>
        <rFont val="華康中黑體"/>
        <family val="3"/>
      </rPr>
      <t>年度起，歲入不含公債及賒借收入、移用以前年度賸餘；歲出不含債務還本。</t>
    </r>
  </si>
  <si>
    <r>
      <t>　　　</t>
    </r>
    <r>
      <rPr>
        <sz val="9"/>
        <rFont val="Arial Narrow"/>
        <family val="2"/>
      </rPr>
      <t>3.</t>
    </r>
    <r>
      <rPr>
        <sz val="9"/>
        <rFont val="華康中黑體"/>
        <family val="3"/>
      </rPr>
      <t>除</t>
    </r>
    <r>
      <rPr>
        <sz val="9"/>
        <rFont val="Arial Narrow"/>
        <family val="2"/>
      </rPr>
      <t>96</t>
    </r>
    <r>
      <rPr>
        <sz val="9"/>
        <rFont val="華康中黑體"/>
        <family val="3"/>
      </rPr>
      <t>年度尚未審定外，各年度均採審定後決算數</t>
    </r>
  </si>
  <si>
    <r>
      <t>　　　</t>
    </r>
    <r>
      <rPr>
        <sz val="9"/>
        <rFont val="Arial Narrow"/>
        <family val="2"/>
      </rPr>
      <t>4.</t>
    </r>
    <r>
      <rPr>
        <sz val="9"/>
        <rFont val="華康中黑體"/>
        <family val="3"/>
      </rPr>
      <t>定義說明：自有財源比率</t>
    </r>
    <r>
      <rPr>
        <sz val="9"/>
        <rFont val="Arial Narrow"/>
        <family val="2"/>
      </rPr>
      <t>=</t>
    </r>
    <r>
      <rPr>
        <sz val="9"/>
        <rFont val="華康中黑體"/>
        <family val="3"/>
      </rPr>
      <t>實質收入</t>
    </r>
    <r>
      <rPr>
        <sz val="9"/>
        <rFont val="Arial Narrow"/>
        <family val="2"/>
      </rPr>
      <t>/</t>
    </r>
    <r>
      <rPr>
        <sz val="9"/>
        <rFont val="華康中黑體"/>
        <family val="3"/>
      </rPr>
      <t>歲出</t>
    </r>
    <r>
      <rPr>
        <sz val="9"/>
        <rFont val="Arial Narrow"/>
        <family val="2"/>
      </rPr>
      <t>*100</t>
    </r>
  </si>
  <si>
    <r>
      <t xml:space="preserve">                                   </t>
    </r>
    <r>
      <rPr>
        <sz val="9"/>
        <rFont val="華康中黑體"/>
        <family val="3"/>
      </rPr>
      <t>　</t>
    </r>
    <r>
      <rPr>
        <sz val="9"/>
        <rFont val="Arial Narrow"/>
        <family val="2"/>
      </rPr>
      <t xml:space="preserve"> </t>
    </r>
    <r>
      <rPr>
        <sz val="9"/>
        <rFont val="華康中黑體"/>
        <family val="3"/>
      </rPr>
      <t>賦稅依存度</t>
    </r>
    <r>
      <rPr>
        <sz val="9"/>
        <rFont val="Arial Narrow"/>
        <family val="2"/>
      </rPr>
      <t>=</t>
    </r>
    <r>
      <rPr>
        <sz val="9"/>
        <rFont val="華康中黑體"/>
        <family val="3"/>
      </rPr>
      <t>稅課收入</t>
    </r>
    <r>
      <rPr>
        <sz val="9"/>
        <rFont val="Arial Narrow"/>
        <family val="2"/>
      </rPr>
      <t>/</t>
    </r>
    <r>
      <rPr>
        <sz val="9"/>
        <rFont val="華康中黑體"/>
        <family val="3"/>
      </rPr>
      <t>歲出</t>
    </r>
    <r>
      <rPr>
        <sz val="9"/>
        <rFont val="Arial Narrow"/>
        <family val="2"/>
      </rPr>
      <t>*100</t>
    </r>
  </si>
  <si>
    <r>
      <t xml:space="preserve">                                   </t>
    </r>
    <r>
      <rPr>
        <sz val="9"/>
        <rFont val="華康中黑體"/>
        <family val="3"/>
      </rPr>
      <t>　</t>
    </r>
    <r>
      <rPr>
        <sz val="9"/>
        <rFont val="Arial Narrow"/>
        <family val="2"/>
      </rPr>
      <t xml:space="preserve"> </t>
    </r>
    <r>
      <rPr>
        <sz val="9"/>
        <rFont val="華康中黑體"/>
        <family val="3"/>
      </rPr>
      <t>補助依存度</t>
    </r>
    <r>
      <rPr>
        <sz val="9"/>
        <rFont val="Arial Narrow"/>
        <family val="2"/>
      </rPr>
      <t>=</t>
    </r>
    <r>
      <rPr>
        <sz val="9"/>
        <rFont val="華康中黑體"/>
        <family val="3"/>
      </rPr>
      <t>補助收入</t>
    </r>
    <r>
      <rPr>
        <sz val="9"/>
        <rFont val="Arial Narrow"/>
        <family val="2"/>
      </rPr>
      <t>/</t>
    </r>
    <r>
      <rPr>
        <sz val="9"/>
        <rFont val="華康中黑體"/>
        <family val="3"/>
      </rPr>
      <t>歲出</t>
    </r>
    <r>
      <rPr>
        <sz val="9"/>
        <rFont val="Arial Narrow"/>
        <family val="2"/>
      </rPr>
      <t>*100</t>
    </r>
  </si>
  <si>
    <t>總　計</t>
  </si>
  <si>
    <t>國稅</t>
  </si>
  <si>
    <t>National Taxes</t>
  </si>
  <si>
    <t>省稅</t>
  </si>
  <si>
    <t>Provincial   Taxes</t>
  </si>
  <si>
    <t>縣　　　　　　　　　　　　　　　　　　　　稅</t>
  </si>
  <si>
    <t>Municipal    Taxes</t>
  </si>
  <si>
    <t>罰鍰</t>
  </si>
  <si>
    <t>合計</t>
  </si>
  <si>
    <t>營利事業
所得稅</t>
  </si>
  <si>
    <t>綜　合
所得稅</t>
  </si>
  <si>
    <t>遺產及
贈與稅</t>
  </si>
  <si>
    <t>貨物稅</t>
  </si>
  <si>
    <t>菸酒稅</t>
  </si>
  <si>
    <t>證　券
交易稅</t>
  </si>
  <si>
    <t>期　貨
交易稅</t>
  </si>
  <si>
    <t>營業稅</t>
  </si>
  <si>
    <t>印花稅</t>
  </si>
  <si>
    <t>使　用
牌照稅</t>
  </si>
  <si>
    <t>田賦</t>
  </si>
  <si>
    <t>地價稅</t>
  </si>
  <si>
    <t>土　地
增值稅</t>
  </si>
  <si>
    <t>房屋稅</t>
  </si>
  <si>
    <t>娛樂稅</t>
  </si>
  <si>
    <t>契稅</t>
  </si>
  <si>
    <t>教育捐</t>
  </si>
  <si>
    <t>臨時捐</t>
  </si>
  <si>
    <t>Grand Total</t>
  </si>
  <si>
    <t>Business Income Tax</t>
  </si>
  <si>
    <t>Individual Income Tax</t>
  </si>
  <si>
    <t>Estate Gift Tax</t>
  </si>
  <si>
    <t>Commodity Tax</t>
  </si>
  <si>
    <t>Tobacco And Alcohol Tax</t>
  </si>
  <si>
    <t>Securities Transactions Tax</t>
  </si>
  <si>
    <t>Futures Transactions Tax</t>
  </si>
  <si>
    <t>Business</t>
  </si>
  <si>
    <t>Stamp Tax</t>
  </si>
  <si>
    <t>License Tax</t>
  </si>
  <si>
    <t>Land Tax</t>
  </si>
  <si>
    <t>Land Value Tax</t>
  </si>
  <si>
    <t>Land Value
Increment Tax</t>
  </si>
  <si>
    <t>House Tax</t>
  </si>
  <si>
    <t>Amusement  Tax</t>
  </si>
  <si>
    <t>Deeds Tax</t>
  </si>
  <si>
    <t>Education Expenditure</t>
  </si>
  <si>
    <t>Fines</t>
  </si>
  <si>
    <t>－</t>
  </si>
  <si>
    <r>
      <t xml:space="preserve">年　度　別
</t>
    </r>
    <r>
      <rPr>
        <sz val="9"/>
        <rFont val="Arial Narrow"/>
        <family val="2"/>
      </rPr>
      <t>Fiscal Year</t>
    </r>
  </si>
  <si>
    <r>
      <t>民國</t>
    </r>
    <r>
      <rPr>
        <sz val="9"/>
        <rFont val="Arial Narrow"/>
        <family val="2"/>
      </rPr>
      <t>87</t>
    </r>
    <r>
      <rPr>
        <sz val="9"/>
        <rFont val="華康粗圓體"/>
        <family val="3"/>
      </rPr>
      <t>年度</t>
    </r>
    <r>
      <rPr>
        <sz val="9"/>
        <rFont val="Arial Narrow"/>
        <family val="2"/>
      </rPr>
      <t>1998</t>
    </r>
  </si>
  <si>
    <r>
      <t>87</t>
    </r>
    <r>
      <rPr>
        <sz val="9"/>
        <rFont val="華康粗圓體"/>
        <family val="3"/>
      </rPr>
      <t>年度</t>
    </r>
    <r>
      <rPr>
        <sz val="9"/>
        <rFont val="Arial Narrow"/>
        <family val="2"/>
      </rPr>
      <t>1998</t>
    </r>
  </si>
  <si>
    <r>
      <t>88</t>
    </r>
    <r>
      <rPr>
        <sz val="9"/>
        <rFont val="華康粗圓體"/>
        <family val="3"/>
      </rPr>
      <t>年度</t>
    </r>
    <r>
      <rPr>
        <sz val="9"/>
        <rFont val="Arial Narrow"/>
        <family val="2"/>
      </rPr>
      <t>1999</t>
    </r>
  </si>
  <si>
    <r>
      <t>88</t>
    </r>
    <r>
      <rPr>
        <sz val="9"/>
        <rFont val="華康粗圓體"/>
        <family val="3"/>
      </rPr>
      <t>年度</t>
    </r>
    <r>
      <rPr>
        <sz val="9"/>
        <rFont val="Arial Narrow"/>
        <family val="2"/>
      </rPr>
      <t>1999</t>
    </r>
  </si>
  <si>
    <t>－</t>
  </si>
  <si>
    <r>
      <t>88</t>
    </r>
    <r>
      <rPr>
        <sz val="9"/>
        <rFont val="華康粗圓體"/>
        <family val="3"/>
      </rPr>
      <t xml:space="preserve">年下半年及
</t>
    </r>
    <r>
      <rPr>
        <sz val="9"/>
        <rFont val="Arial Narrow"/>
        <family val="2"/>
      </rPr>
      <t>89</t>
    </r>
    <r>
      <rPr>
        <sz val="9"/>
        <rFont val="華康粗圓體"/>
        <family val="3"/>
      </rPr>
      <t xml:space="preserve">年度
</t>
    </r>
    <r>
      <rPr>
        <sz val="9"/>
        <rFont val="Arial Narrow"/>
        <family val="2"/>
      </rPr>
      <t>07/01/1999~12/31/2000</t>
    </r>
  </si>
  <si>
    <r>
      <t>88</t>
    </r>
    <r>
      <rPr>
        <sz val="9"/>
        <rFont val="華康粗圓體"/>
        <family val="3"/>
      </rPr>
      <t xml:space="preserve">年下半年及
</t>
    </r>
    <r>
      <rPr>
        <sz val="9"/>
        <rFont val="Arial Narrow"/>
        <family val="2"/>
      </rPr>
      <t>89</t>
    </r>
    <r>
      <rPr>
        <sz val="9"/>
        <rFont val="華康粗圓體"/>
        <family val="3"/>
      </rPr>
      <t xml:space="preserve">年度
</t>
    </r>
    <r>
      <rPr>
        <sz val="9"/>
        <rFont val="Arial Narrow"/>
        <family val="2"/>
      </rPr>
      <t>07/01/1999~12/31/2000</t>
    </r>
  </si>
  <si>
    <r>
      <t>90</t>
    </r>
    <r>
      <rPr>
        <sz val="9"/>
        <rFont val="華康粗圓體"/>
        <family val="3"/>
      </rPr>
      <t>年度</t>
    </r>
    <r>
      <rPr>
        <sz val="9"/>
        <rFont val="Arial Narrow"/>
        <family val="2"/>
      </rPr>
      <t>2001</t>
    </r>
  </si>
  <si>
    <r>
      <t>90</t>
    </r>
    <r>
      <rPr>
        <sz val="9"/>
        <rFont val="華康粗圓體"/>
        <family val="3"/>
      </rPr>
      <t>年度</t>
    </r>
    <r>
      <rPr>
        <sz val="9"/>
        <rFont val="Arial Narrow"/>
        <family val="2"/>
      </rPr>
      <t>2001</t>
    </r>
  </si>
  <si>
    <r>
      <t>91</t>
    </r>
    <r>
      <rPr>
        <sz val="9"/>
        <rFont val="華康粗圓體"/>
        <family val="3"/>
      </rPr>
      <t>年度</t>
    </r>
    <r>
      <rPr>
        <sz val="9"/>
        <rFont val="Arial Narrow"/>
        <family val="2"/>
      </rPr>
      <t>2002</t>
    </r>
  </si>
  <si>
    <r>
      <t>91</t>
    </r>
    <r>
      <rPr>
        <sz val="9"/>
        <rFont val="華康粗圓體"/>
        <family val="3"/>
      </rPr>
      <t>年度</t>
    </r>
    <r>
      <rPr>
        <sz val="9"/>
        <rFont val="Arial Narrow"/>
        <family val="2"/>
      </rPr>
      <t>2002</t>
    </r>
  </si>
  <si>
    <r>
      <t>92</t>
    </r>
    <r>
      <rPr>
        <sz val="9"/>
        <rFont val="華康粗圓體"/>
        <family val="3"/>
      </rPr>
      <t>年度</t>
    </r>
    <r>
      <rPr>
        <sz val="9"/>
        <rFont val="Arial Narrow"/>
        <family val="2"/>
      </rPr>
      <t>2003</t>
    </r>
  </si>
  <si>
    <r>
      <t>92</t>
    </r>
    <r>
      <rPr>
        <sz val="9"/>
        <rFont val="華康粗圓體"/>
        <family val="3"/>
      </rPr>
      <t>年度</t>
    </r>
    <r>
      <rPr>
        <sz val="9"/>
        <rFont val="Arial Narrow"/>
        <family val="2"/>
      </rPr>
      <t>2003</t>
    </r>
  </si>
  <si>
    <r>
      <t>93</t>
    </r>
    <r>
      <rPr>
        <sz val="9"/>
        <rFont val="華康粗圓體"/>
        <family val="3"/>
      </rPr>
      <t>年度</t>
    </r>
    <r>
      <rPr>
        <sz val="9"/>
        <rFont val="Arial Narrow"/>
        <family val="2"/>
      </rPr>
      <t>2004</t>
    </r>
  </si>
  <si>
    <r>
      <t>93</t>
    </r>
    <r>
      <rPr>
        <sz val="9"/>
        <rFont val="華康粗圓體"/>
        <family val="3"/>
      </rPr>
      <t>年度</t>
    </r>
    <r>
      <rPr>
        <sz val="9"/>
        <rFont val="Arial Narrow"/>
        <family val="2"/>
      </rPr>
      <t>2004</t>
    </r>
  </si>
  <si>
    <r>
      <t>94</t>
    </r>
    <r>
      <rPr>
        <sz val="9"/>
        <rFont val="華康粗圓體"/>
        <family val="3"/>
      </rPr>
      <t>年度</t>
    </r>
    <r>
      <rPr>
        <sz val="9"/>
        <rFont val="Arial Narrow"/>
        <family val="2"/>
      </rPr>
      <t>2005</t>
    </r>
  </si>
  <si>
    <r>
      <t>94</t>
    </r>
    <r>
      <rPr>
        <sz val="9"/>
        <rFont val="華康粗圓體"/>
        <family val="3"/>
      </rPr>
      <t>年度</t>
    </r>
    <r>
      <rPr>
        <sz val="9"/>
        <rFont val="Arial Narrow"/>
        <family val="2"/>
      </rPr>
      <t>2005</t>
    </r>
  </si>
  <si>
    <r>
      <t>95</t>
    </r>
    <r>
      <rPr>
        <sz val="9"/>
        <rFont val="華康粗圓體"/>
        <family val="3"/>
      </rPr>
      <t>年度</t>
    </r>
    <r>
      <rPr>
        <sz val="9"/>
        <rFont val="Arial Narrow"/>
        <family val="2"/>
      </rPr>
      <t>2006</t>
    </r>
  </si>
  <si>
    <r>
      <t>95</t>
    </r>
    <r>
      <rPr>
        <sz val="9"/>
        <rFont val="華康粗圓體"/>
        <family val="3"/>
      </rPr>
      <t>年度</t>
    </r>
    <r>
      <rPr>
        <sz val="9"/>
        <rFont val="Arial Narrow"/>
        <family val="2"/>
      </rPr>
      <t>2006</t>
    </r>
  </si>
  <si>
    <r>
      <t>96</t>
    </r>
    <r>
      <rPr>
        <sz val="9"/>
        <rFont val="華康粗圓體"/>
        <family val="3"/>
      </rPr>
      <t>年度</t>
    </r>
    <r>
      <rPr>
        <sz val="9"/>
        <rFont val="Arial Narrow"/>
        <family val="2"/>
      </rPr>
      <t>2007</t>
    </r>
  </si>
  <si>
    <r>
      <t>6-6</t>
    </r>
    <r>
      <rPr>
        <sz val="12"/>
        <rFont val="華康粗圓體"/>
        <family val="3"/>
      </rPr>
      <t>、</t>
    </r>
    <r>
      <rPr>
        <sz val="12"/>
        <rFont val="Arial"/>
        <family val="2"/>
      </rPr>
      <t>The Actual Collection of Local Taxes</t>
    </r>
  </si>
  <si>
    <r>
      <t>表</t>
    </r>
    <r>
      <rPr>
        <sz val="12"/>
        <rFont val="Arial"/>
        <family val="2"/>
      </rPr>
      <t>6-6</t>
    </r>
    <r>
      <rPr>
        <sz val="12"/>
        <rFont val="華康粗圓體"/>
        <family val="3"/>
      </rPr>
      <t>、各項稅捐實徵數</t>
    </r>
    <r>
      <rPr>
        <sz val="12"/>
        <rFont val="Arial"/>
        <family val="2"/>
      </rPr>
      <t>(</t>
    </r>
    <r>
      <rPr>
        <sz val="12"/>
        <rFont val="華康粗圓體"/>
        <family val="3"/>
      </rPr>
      <t>續</t>
    </r>
    <r>
      <rPr>
        <sz val="12"/>
        <rFont val="Arial"/>
        <family val="2"/>
      </rPr>
      <t>)</t>
    </r>
  </si>
  <si>
    <r>
      <t>6-6</t>
    </r>
    <r>
      <rPr>
        <sz val="12"/>
        <rFont val="華康粗圓體"/>
        <family val="3"/>
      </rPr>
      <t>、</t>
    </r>
    <r>
      <rPr>
        <sz val="12"/>
        <rFont val="Arial"/>
        <family val="2"/>
      </rPr>
      <t>The Actual Collection of Local Taxes(Cont.)</t>
    </r>
  </si>
  <si>
    <t>資料來源：桃園縣稅捐統計要覽</t>
  </si>
  <si>
    <t>Source:Revenue Service</t>
  </si>
  <si>
    <t>Description: 1. Starting July 1999, business tax was re-categorized as national tax while stamp tax and license tax re-categorized as</t>
  </si>
  <si>
    <t xml:space="preserve">                           Financial Restructuring Fund, which resulted in a $5 billion increase of business tax in 2002.</t>
  </si>
  <si>
    <t>單位：新台幣千元</t>
  </si>
  <si>
    <r>
      <t>Unit :NT</t>
    </r>
    <r>
      <rPr>
        <sz val="9"/>
        <rFont val="華康中黑體"/>
        <family val="3"/>
      </rPr>
      <t>＄</t>
    </r>
    <r>
      <rPr>
        <sz val="9"/>
        <rFont val="Arial Narrow"/>
        <family val="2"/>
      </rPr>
      <t>1000</t>
    </r>
  </si>
  <si>
    <r>
      <t>說明：</t>
    </r>
    <r>
      <rPr>
        <sz val="8.5"/>
        <rFont val="Arial Narrow"/>
        <family val="2"/>
      </rPr>
      <t>1.88</t>
    </r>
    <r>
      <rPr>
        <sz val="8.5"/>
        <rFont val="華康中黑體"/>
        <family val="3"/>
      </rPr>
      <t>年</t>
    </r>
    <r>
      <rPr>
        <sz val="8.5"/>
        <rFont val="Arial Narrow"/>
        <family val="2"/>
      </rPr>
      <t>7</t>
    </r>
    <r>
      <rPr>
        <sz val="8.5"/>
        <rFont val="華康中黑體"/>
        <family val="3"/>
      </rPr>
      <t>月起營業稅由省稅改為國稅；印花稅、使用牌照稅由省稅改為縣市稅；教育捐停徵，</t>
    </r>
  </si>
  <si>
    <r>
      <t>　　　</t>
    </r>
    <r>
      <rPr>
        <sz val="8.5"/>
        <rFont val="Arial Narrow"/>
        <family val="2"/>
      </rPr>
      <t xml:space="preserve">  </t>
    </r>
    <r>
      <rPr>
        <sz val="8.5"/>
        <rFont val="華康中黑體"/>
        <family val="3"/>
      </rPr>
      <t>表內數為以前年度補繳。</t>
    </r>
  </si>
  <si>
    <r>
      <t>　　　</t>
    </r>
    <r>
      <rPr>
        <sz val="8.5"/>
        <rFont val="Arial Narrow"/>
        <family val="2"/>
      </rPr>
      <t xml:space="preserve">           county/ city tax. Education tax was eliminated. Amounts contained in the table were payments for previous years.</t>
    </r>
  </si>
  <si>
    <r>
      <t>　　　</t>
    </r>
    <r>
      <rPr>
        <sz val="8.5"/>
        <rFont val="Arial Narrow"/>
        <family val="2"/>
      </rPr>
      <t>2.91</t>
    </r>
    <r>
      <rPr>
        <sz val="8.5"/>
        <rFont val="華康中黑體"/>
        <family val="3"/>
      </rPr>
      <t>年</t>
    </r>
    <r>
      <rPr>
        <sz val="8.5"/>
        <rFont val="Arial Narrow"/>
        <family val="2"/>
      </rPr>
      <t>1</t>
    </r>
    <r>
      <rPr>
        <sz val="8.5"/>
        <rFont val="華康中黑體"/>
        <family val="3"/>
      </rPr>
      <t>月</t>
    </r>
    <r>
      <rPr>
        <sz val="8.5"/>
        <rFont val="Arial Narrow"/>
        <family val="2"/>
      </rPr>
      <t>1</t>
    </r>
    <r>
      <rPr>
        <sz val="8.5"/>
        <rFont val="華康中黑體"/>
        <family val="3"/>
      </rPr>
      <t>日起開徵菸酒稅。</t>
    </r>
  </si>
  <si>
    <r>
      <t>　　　</t>
    </r>
    <r>
      <rPr>
        <sz val="8.5"/>
        <rFont val="Arial Narrow"/>
        <family val="2"/>
      </rPr>
      <t xml:space="preserve">        2. The government began levying tobacco/alcohol tax starting January 2002.</t>
    </r>
  </si>
  <si>
    <r>
      <t>　　　</t>
    </r>
    <r>
      <rPr>
        <sz val="8.5"/>
        <rFont val="Arial Narrow"/>
        <family val="2"/>
      </rPr>
      <t>3.91</t>
    </r>
    <r>
      <rPr>
        <sz val="8.5"/>
        <rFont val="華康中黑體"/>
        <family val="3"/>
      </rPr>
      <t>年</t>
    </r>
    <r>
      <rPr>
        <sz val="8.5"/>
        <rFont val="Arial Narrow"/>
        <family val="2"/>
      </rPr>
      <t>1</t>
    </r>
    <r>
      <rPr>
        <sz val="8.5"/>
        <rFont val="華康中黑體"/>
        <family val="3"/>
      </rPr>
      <t>月</t>
    </r>
    <r>
      <rPr>
        <sz val="8.5"/>
        <rFont val="Arial Narrow"/>
        <family val="2"/>
      </rPr>
      <t>1</t>
    </r>
    <r>
      <rPr>
        <sz val="8.5"/>
        <rFont val="華康中黑體"/>
        <family val="3"/>
      </rPr>
      <t>日起因稅制改變，營業稅含海關代徵及金融重建基金，以致</t>
    </r>
    <r>
      <rPr>
        <sz val="8.5"/>
        <rFont val="Arial Narrow"/>
        <family val="2"/>
      </rPr>
      <t>91</t>
    </r>
    <r>
      <rPr>
        <sz val="8.5"/>
        <rFont val="華康中黑體"/>
        <family val="3"/>
      </rPr>
      <t>年度營業稅增</t>
    </r>
  </si>
  <si>
    <r>
      <t>　　　</t>
    </r>
    <r>
      <rPr>
        <sz val="8.5"/>
        <rFont val="Arial Narrow"/>
        <family val="2"/>
      </rPr>
      <t xml:space="preserve">        3. The taxation system changed on January 1, 2002. Business tax now included the portion levied by the Customs and </t>
    </r>
  </si>
  <si>
    <r>
      <t>　　　</t>
    </r>
    <r>
      <rPr>
        <sz val="8.5"/>
        <rFont val="Arial Narrow"/>
        <family val="2"/>
      </rPr>
      <t xml:space="preserve">  </t>
    </r>
    <r>
      <rPr>
        <sz val="8.5"/>
        <rFont val="華康中黑體"/>
        <family val="3"/>
      </rPr>
      <t>加</t>
    </r>
    <r>
      <rPr>
        <sz val="8.5"/>
        <rFont val="Arial Narrow"/>
        <family val="2"/>
      </rPr>
      <t>50</t>
    </r>
    <r>
      <rPr>
        <sz val="8.5"/>
        <rFont val="華康中黑體"/>
        <family val="3"/>
      </rPr>
      <t>億之多。</t>
    </r>
    <r>
      <rPr>
        <sz val="8.5"/>
        <rFont val="Arial Narrow"/>
        <family val="2"/>
      </rPr>
      <t xml:space="preserve"> </t>
    </r>
  </si>
  <si>
    <r>
      <t>　　　</t>
    </r>
    <r>
      <rPr>
        <sz val="8.5"/>
        <rFont val="Arial Narrow"/>
        <family val="2"/>
      </rPr>
      <t>4.</t>
    </r>
    <r>
      <rPr>
        <sz val="8.5"/>
        <rFont val="華康中黑體"/>
        <family val="3"/>
      </rPr>
      <t>罰鍰為國稅及縣稅合計數。</t>
    </r>
  </si>
  <si>
    <r>
      <t>　　　</t>
    </r>
    <r>
      <rPr>
        <sz val="8.5"/>
        <rFont val="Arial Narrow"/>
        <family val="2"/>
      </rPr>
      <t xml:space="preserve">          4. Fines were the total of national tax and county tax.</t>
    </r>
  </si>
  <si>
    <r>
      <t xml:space="preserve">年度別及稅目別
</t>
    </r>
    <r>
      <rPr>
        <sz val="9"/>
        <rFont val="Arial Narrow"/>
        <family val="2"/>
      </rPr>
      <t>Fiscal Year &amp; Item</t>
    </r>
  </si>
  <si>
    <r>
      <t xml:space="preserve">實　徵　數
</t>
    </r>
    <r>
      <rPr>
        <sz val="9"/>
        <rFont val="Arial Narrow"/>
        <family val="2"/>
      </rPr>
      <t>(</t>
    </r>
    <r>
      <rPr>
        <sz val="9"/>
        <rFont val="華康粗圓體"/>
        <family val="3"/>
      </rPr>
      <t>淨額</t>
    </r>
    <r>
      <rPr>
        <sz val="9"/>
        <rFont val="Arial Narrow"/>
        <family val="2"/>
      </rPr>
      <t>)</t>
    </r>
  </si>
  <si>
    <t>納　　　庫　　　數</t>
  </si>
  <si>
    <t>Pay to Treasury</t>
  </si>
  <si>
    <t>未　納
庫　數</t>
  </si>
  <si>
    <t>合　計</t>
  </si>
  <si>
    <t>省　庫</t>
  </si>
  <si>
    <t>省統籌分配專戶</t>
  </si>
  <si>
    <t>縣　庫</t>
  </si>
  <si>
    <t>縣統籌
分配專戶</t>
  </si>
  <si>
    <t>臨時稅款專戶</t>
  </si>
  <si>
    <t>Actual Collection</t>
  </si>
  <si>
    <t>Total</t>
  </si>
  <si>
    <t>Total Receipt by
Provincial Gov't</t>
  </si>
  <si>
    <t>Unified Taxation 
by Provincial Gov't</t>
  </si>
  <si>
    <t>The Municipal
Treasury</t>
  </si>
  <si>
    <t>Unified Taxation 
by Hsien Gov't</t>
  </si>
  <si>
    <t>Unpaid to Treasury</t>
  </si>
  <si>
    <r>
      <t>民國</t>
    </r>
    <r>
      <rPr>
        <sz val="9"/>
        <rFont val="Arial Narrow"/>
        <family val="2"/>
      </rPr>
      <t>87</t>
    </r>
    <r>
      <rPr>
        <sz val="9"/>
        <rFont val="華康粗圓體"/>
        <family val="3"/>
      </rPr>
      <t>年度</t>
    </r>
  </si>
  <si>
    <t>－</t>
  </si>
  <si>
    <r>
      <t xml:space="preserve">    88</t>
    </r>
    <r>
      <rPr>
        <sz val="9"/>
        <rFont val="華康粗圓體"/>
        <family val="3"/>
      </rPr>
      <t>年度</t>
    </r>
  </si>
  <si>
    <t>國　庫</t>
  </si>
  <si>
    <t>中央統籌</t>
  </si>
  <si>
    <t>The National Treasury</t>
  </si>
  <si>
    <t>National Treasury
by Provincial Gov't</t>
  </si>
  <si>
    <r>
      <t xml:space="preserve"> 88</t>
    </r>
    <r>
      <rPr>
        <sz val="9"/>
        <rFont val="華康粗圓體"/>
        <family val="3"/>
      </rPr>
      <t>年下半年
及</t>
    </r>
    <r>
      <rPr>
        <sz val="9"/>
        <rFont val="Arial Narrow"/>
        <family val="2"/>
      </rPr>
      <t>89</t>
    </r>
    <r>
      <rPr>
        <sz val="9"/>
        <rFont val="華康粗圓體"/>
        <family val="3"/>
      </rPr>
      <t>年度</t>
    </r>
  </si>
  <si>
    <t>07/01/1999~12/31/2000</t>
  </si>
  <si>
    <r>
      <t xml:space="preserve">    90</t>
    </r>
    <r>
      <rPr>
        <sz val="9"/>
        <rFont val="華康粗圓體"/>
        <family val="3"/>
      </rPr>
      <t>年度</t>
    </r>
  </si>
  <si>
    <t>2001</t>
  </si>
  <si>
    <r>
      <t xml:space="preserve">    91</t>
    </r>
    <r>
      <rPr>
        <sz val="9"/>
        <rFont val="華康粗圓體"/>
        <family val="3"/>
      </rPr>
      <t>年度</t>
    </r>
  </si>
  <si>
    <t>2002</t>
  </si>
  <si>
    <r>
      <t xml:space="preserve">    92</t>
    </r>
    <r>
      <rPr>
        <sz val="9"/>
        <rFont val="華康粗圓體"/>
        <family val="3"/>
      </rPr>
      <t>年度</t>
    </r>
  </si>
  <si>
    <t>2003</t>
  </si>
  <si>
    <r>
      <t xml:space="preserve">    93</t>
    </r>
    <r>
      <rPr>
        <sz val="9"/>
        <rFont val="華康粗圓體"/>
        <family val="3"/>
      </rPr>
      <t>年度</t>
    </r>
  </si>
  <si>
    <t>2004</t>
  </si>
  <si>
    <r>
      <t xml:space="preserve">    94</t>
    </r>
    <r>
      <rPr>
        <sz val="9"/>
        <rFont val="華康粗圓體"/>
        <family val="3"/>
      </rPr>
      <t>年度</t>
    </r>
  </si>
  <si>
    <t>2005</t>
  </si>
  <si>
    <r>
      <t xml:space="preserve">    95</t>
    </r>
    <r>
      <rPr>
        <sz val="9"/>
        <rFont val="華康粗圓體"/>
        <family val="3"/>
      </rPr>
      <t>年度</t>
    </r>
  </si>
  <si>
    <t>2006</t>
  </si>
  <si>
    <r>
      <t xml:space="preserve">    96</t>
    </r>
    <r>
      <rPr>
        <sz val="9"/>
        <rFont val="華康粗圓體"/>
        <family val="3"/>
      </rPr>
      <t>年度</t>
    </r>
  </si>
  <si>
    <t>2007</t>
  </si>
  <si>
    <t>Land Value Tax</t>
  </si>
  <si>
    <t>Land Value Increment Tax</t>
  </si>
  <si>
    <t>House Tax</t>
  </si>
  <si>
    <t>License Tax</t>
  </si>
  <si>
    <t>Deeds Tax</t>
  </si>
  <si>
    <t>Stamp Tax</t>
  </si>
  <si>
    <t>Amusement Tax</t>
  </si>
  <si>
    <t>Education Expenditure</t>
  </si>
  <si>
    <t>Temporary Tax</t>
  </si>
  <si>
    <t>資料來源：桃園縣稅捐統計要覽。</t>
  </si>
  <si>
    <r>
      <t>說明：</t>
    </r>
    <r>
      <rPr>
        <sz val="9"/>
        <rFont val="Arial Narrow"/>
        <family val="2"/>
      </rPr>
      <t>1.</t>
    </r>
    <r>
      <rPr>
        <sz val="9"/>
        <rFont val="華康中黑體"/>
        <family val="3"/>
      </rPr>
      <t>因精省故更改表式，原省庫、省統籌分配專戶等項變更為國庫及中央統籌。</t>
    </r>
  </si>
  <si>
    <r>
      <t>　　　</t>
    </r>
    <r>
      <rPr>
        <sz val="9"/>
        <rFont val="Arial Narrow"/>
        <family val="2"/>
      </rPr>
      <t>2.</t>
    </r>
    <r>
      <rPr>
        <sz val="9"/>
        <rFont val="華康中黑體"/>
        <family val="3"/>
      </rPr>
      <t>自</t>
    </r>
    <r>
      <rPr>
        <sz val="9"/>
        <rFont val="Arial Narrow"/>
        <family val="2"/>
      </rPr>
      <t>92</t>
    </r>
    <r>
      <rPr>
        <sz val="9"/>
        <rFont val="華康中黑體"/>
        <family val="3"/>
      </rPr>
      <t>年度起營業稅改由國稅局徵收，本表不再列出營業稅納庫數。</t>
    </r>
  </si>
  <si>
    <t>　地　價　稅</t>
  </si>
  <si>
    <t>　房　屋　稅</t>
  </si>
  <si>
    <t>　契　　　稅</t>
  </si>
  <si>
    <t>　印　花　稅</t>
  </si>
  <si>
    <t>　娛　樂　稅</t>
  </si>
  <si>
    <t>　教　育　捐</t>
  </si>
  <si>
    <t>　臨　時　捐</t>
  </si>
  <si>
    <t>　罰　　　鍰</t>
  </si>
  <si>
    <t>年度別及月別</t>
  </si>
  <si>
    <t>收</t>
  </si>
  <si>
    <t>入</t>
  </si>
  <si>
    <t>Revent</t>
  </si>
  <si>
    <t>總　計</t>
  </si>
  <si>
    <t>本年度收入</t>
  </si>
  <si>
    <t>Current Year Revent</t>
  </si>
  <si>
    <t>以前年度
收　　入</t>
  </si>
  <si>
    <t>Fiscal Year &amp; Month</t>
  </si>
  <si>
    <t>合　計</t>
  </si>
  <si>
    <t>稅課收入</t>
  </si>
  <si>
    <t>規費收入</t>
  </si>
  <si>
    <t>信託管理
收　　入</t>
  </si>
  <si>
    <t>財產收入</t>
  </si>
  <si>
    <t>營業盈餘及
事業收入</t>
  </si>
  <si>
    <t>賒借收入</t>
  </si>
  <si>
    <t>其他收入</t>
  </si>
  <si>
    <r>
      <t>預</t>
    </r>
    <r>
      <rPr>
        <sz val="8"/>
        <rFont val="Arial Narrow"/>
        <family val="2"/>
      </rPr>
      <t xml:space="preserve">  </t>
    </r>
    <r>
      <rPr>
        <sz val="8"/>
        <rFont val="華康粗圓體"/>
        <family val="3"/>
      </rPr>
      <t>算</t>
    </r>
    <r>
      <rPr>
        <sz val="8"/>
        <rFont val="Arial Narrow"/>
        <family val="2"/>
      </rPr>
      <t xml:space="preserve">  </t>
    </r>
    <r>
      <rPr>
        <sz val="8"/>
        <rFont val="華康粗圓體"/>
        <family val="3"/>
      </rPr>
      <t>外
收　　入</t>
    </r>
  </si>
  <si>
    <r>
      <t>工程受益
費</t>
    </r>
    <r>
      <rPr>
        <sz val="8"/>
        <rFont val="Arial Narrow"/>
        <family val="2"/>
      </rPr>
      <t xml:space="preserve">  </t>
    </r>
    <r>
      <rPr>
        <sz val="8"/>
        <rFont val="華康粗圓體"/>
        <family val="3"/>
      </rPr>
      <t>收</t>
    </r>
    <r>
      <rPr>
        <sz val="8"/>
        <rFont val="Arial Narrow"/>
        <family val="2"/>
      </rPr>
      <t xml:space="preserve">  </t>
    </r>
    <r>
      <rPr>
        <sz val="8"/>
        <rFont val="華康粗圓體"/>
        <family val="3"/>
      </rPr>
      <t>入</t>
    </r>
  </si>
  <si>
    <r>
      <t>罰款及賠
償</t>
    </r>
    <r>
      <rPr>
        <sz val="8"/>
        <rFont val="Arial Narrow"/>
        <family val="2"/>
      </rPr>
      <t xml:space="preserve">  </t>
    </r>
    <r>
      <rPr>
        <sz val="8"/>
        <rFont val="華康粗圓體"/>
        <family val="3"/>
      </rPr>
      <t>收</t>
    </r>
    <r>
      <rPr>
        <sz val="8"/>
        <rFont val="Arial Narrow"/>
        <family val="2"/>
      </rPr>
      <t xml:space="preserve">  </t>
    </r>
    <r>
      <rPr>
        <sz val="8"/>
        <rFont val="華康粗圓體"/>
        <family val="3"/>
      </rPr>
      <t>入</t>
    </r>
  </si>
  <si>
    <r>
      <t>補</t>
    </r>
    <r>
      <rPr>
        <sz val="8"/>
        <rFont val="Arial Narrow"/>
        <family val="2"/>
      </rPr>
      <t xml:space="preserve">  </t>
    </r>
    <r>
      <rPr>
        <sz val="8"/>
        <rFont val="華康粗圓體"/>
        <family val="3"/>
      </rPr>
      <t>助</t>
    </r>
    <r>
      <rPr>
        <sz val="8"/>
        <rFont val="Arial Narrow"/>
        <family val="2"/>
      </rPr>
      <t xml:space="preserve">  </t>
    </r>
    <r>
      <rPr>
        <sz val="8"/>
        <rFont val="華康粗圓體"/>
        <family val="3"/>
      </rPr>
      <t>及</t>
    </r>
    <r>
      <rPr>
        <sz val="8"/>
        <rFont val="Arial Narrow"/>
        <family val="2"/>
      </rPr>
      <t xml:space="preserve"> 
</t>
    </r>
    <r>
      <rPr>
        <sz val="8"/>
        <rFont val="華康粗圓體"/>
        <family val="3"/>
      </rPr>
      <t>協助收入</t>
    </r>
  </si>
  <si>
    <r>
      <t>捐</t>
    </r>
    <r>
      <rPr>
        <sz val="8"/>
        <rFont val="Arial Narrow"/>
        <family val="2"/>
      </rPr>
      <t xml:space="preserve">  </t>
    </r>
    <r>
      <rPr>
        <sz val="8"/>
        <rFont val="華康粗圓體"/>
        <family val="3"/>
      </rPr>
      <t>獻</t>
    </r>
    <r>
      <rPr>
        <sz val="8"/>
        <rFont val="Arial Narrow"/>
        <family val="2"/>
      </rPr>
      <t xml:space="preserve">  </t>
    </r>
    <r>
      <rPr>
        <sz val="8"/>
        <rFont val="華康粗圓體"/>
        <family val="3"/>
      </rPr>
      <t>及
贈與收入</t>
    </r>
  </si>
  <si>
    <r>
      <t>民國</t>
    </r>
    <r>
      <rPr>
        <sz val="8"/>
        <rFont val="Arial Narrow"/>
        <family val="2"/>
      </rPr>
      <t>87</t>
    </r>
    <r>
      <rPr>
        <sz val="8"/>
        <rFont val="華康粗圓體"/>
        <family val="3"/>
      </rPr>
      <t>年度</t>
    </r>
    <r>
      <rPr>
        <sz val="8"/>
        <rFont val="Arial Narrow"/>
        <family val="2"/>
      </rPr>
      <t>1998</t>
    </r>
  </si>
  <si>
    <r>
      <t>88</t>
    </r>
    <r>
      <rPr>
        <sz val="8"/>
        <rFont val="華康粗圓體"/>
        <family val="3"/>
      </rPr>
      <t>年度</t>
    </r>
    <r>
      <rPr>
        <sz val="8"/>
        <rFont val="Arial Narrow"/>
        <family val="2"/>
      </rPr>
      <t>1999</t>
    </r>
  </si>
  <si>
    <r>
      <t>89</t>
    </r>
    <r>
      <rPr>
        <sz val="8"/>
        <rFont val="華康粗圓體"/>
        <family val="3"/>
      </rPr>
      <t>年度</t>
    </r>
    <r>
      <rPr>
        <sz val="8"/>
        <rFont val="Arial Narrow"/>
        <family val="2"/>
      </rPr>
      <t>2000</t>
    </r>
  </si>
  <si>
    <r>
      <t>90</t>
    </r>
    <r>
      <rPr>
        <sz val="8"/>
        <rFont val="華康粗圓體"/>
        <family val="3"/>
      </rPr>
      <t>年度</t>
    </r>
    <r>
      <rPr>
        <sz val="8"/>
        <rFont val="Arial Narrow"/>
        <family val="2"/>
      </rPr>
      <t>2001</t>
    </r>
  </si>
  <si>
    <r>
      <t>91</t>
    </r>
    <r>
      <rPr>
        <sz val="8"/>
        <rFont val="華康粗圓體"/>
        <family val="3"/>
      </rPr>
      <t>年度</t>
    </r>
    <r>
      <rPr>
        <sz val="8"/>
        <rFont val="Arial Narrow"/>
        <family val="2"/>
      </rPr>
      <t>2002</t>
    </r>
  </si>
  <si>
    <r>
      <t>92</t>
    </r>
    <r>
      <rPr>
        <sz val="8"/>
        <rFont val="華康粗圓體"/>
        <family val="3"/>
      </rPr>
      <t>年度</t>
    </r>
    <r>
      <rPr>
        <sz val="8"/>
        <rFont val="Arial Narrow"/>
        <family val="2"/>
      </rPr>
      <t>2003</t>
    </r>
  </si>
  <si>
    <r>
      <t>93</t>
    </r>
    <r>
      <rPr>
        <sz val="8"/>
        <rFont val="華康粗圓體"/>
        <family val="3"/>
      </rPr>
      <t>年度</t>
    </r>
    <r>
      <rPr>
        <sz val="8"/>
        <rFont val="Arial Narrow"/>
        <family val="2"/>
      </rPr>
      <t>2004</t>
    </r>
  </si>
  <si>
    <r>
      <t>94</t>
    </r>
    <r>
      <rPr>
        <sz val="8"/>
        <rFont val="華康粗圓體"/>
        <family val="3"/>
      </rPr>
      <t>年度</t>
    </r>
    <r>
      <rPr>
        <sz val="8"/>
        <rFont val="Arial Narrow"/>
        <family val="2"/>
      </rPr>
      <t>2005</t>
    </r>
  </si>
  <si>
    <r>
      <t>95</t>
    </r>
    <r>
      <rPr>
        <sz val="8"/>
        <rFont val="華康粗圓體"/>
        <family val="3"/>
      </rPr>
      <t>年度</t>
    </r>
    <r>
      <rPr>
        <sz val="8"/>
        <rFont val="Arial Narrow"/>
        <family val="2"/>
      </rPr>
      <t>2006</t>
    </r>
  </si>
  <si>
    <r>
      <t>96</t>
    </r>
    <r>
      <rPr>
        <sz val="8"/>
        <rFont val="華康粗圓體"/>
        <family val="3"/>
      </rPr>
      <t>年度</t>
    </r>
    <r>
      <rPr>
        <sz val="8"/>
        <rFont val="Arial Narrow"/>
        <family val="2"/>
      </rPr>
      <t>2007</t>
    </r>
  </si>
  <si>
    <r>
      <t>1</t>
    </r>
    <r>
      <rPr>
        <sz val="8"/>
        <rFont val="華康粗圓體"/>
        <family val="3"/>
      </rPr>
      <t>月</t>
    </r>
    <r>
      <rPr>
        <sz val="8"/>
        <rFont val="Arial Narrow"/>
        <family val="2"/>
      </rPr>
      <t xml:space="preserve"> January</t>
    </r>
  </si>
  <si>
    <r>
      <t>2</t>
    </r>
    <r>
      <rPr>
        <sz val="8"/>
        <rFont val="華康粗圓體"/>
        <family val="3"/>
      </rPr>
      <t>月</t>
    </r>
    <r>
      <rPr>
        <sz val="8"/>
        <rFont val="Arial Narrow"/>
        <family val="2"/>
      </rPr>
      <t xml:space="preserve"> February</t>
    </r>
  </si>
  <si>
    <r>
      <t>3</t>
    </r>
    <r>
      <rPr>
        <sz val="8"/>
        <rFont val="華康粗圓體"/>
        <family val="3"/>
      </rPr>
      <t>月</t>
    </r>
    <r>
      <rPr>
        <sz val="8"/>
        <rFont val="Arial Narrow"/>
        <family val="2"/>
      </rPr>
      <t xml:space="preserve"> March</t>
    </r>
  </si>
  <si>
    <r>
      <t>4</t>
    </r>
    <r>
      <rPr>
        <sz val="8"/>
        <rFont val="華康粗圓體"/>
        <family val="3"/>
      </rPr>
      <t>月</t>
    </r>
    <r>
      <rPr>
        <sz val="8"/>
        <rFont val="Arial Narrow"/>
        <family val="2"/>
      </rPr>
      <t xml:space="preserve"> April</t>
    </r>
  </si>
  <si>
    <r>
      <t>5</t>
    </r>
    <r>
      <rPr>
        <sz val="8"/>
        <rFont val="華康粗圓體"/>
        <family val="3"/>
      </rPr>
      <t>月</t>
    </r>
    <r>
      <rPr>
        <sz val="8"/>
        <rFont val="Arial Narrow"/>
        <family val="2"/>
      </rPr>
      <t xml:space="preserve"> May</t>
    </r>
  </si>
  <si>
    <r>
      <t>6</t>
    </r>
    <r>
      <rPr>
        <sz val="8"/>
        <rFont val="華康粗圓體"/>
        <family val="3"/>
      </rPr>
      <t>月</t>
    </r>
    <r>
      <rPr>
        <sz val="8"/>
        <rFont val="Arial Narrow"/>
        <family val="2"/>
      </rPr>
      <t xml:space="preserve"> June</t>
    </r>
  </si>
  <si>
    <r>
      <t>7</t>
    </r>
    <r>
      <rPr>
        <sz val="8"/>
        <rFont val="華康粗圓體"/>
        <family val="3"/>
      </rPr>
      <t>月</t>
    </r>
    <r>
      <rPr>
        <sz val="8"/>
        <rFont val="Arial Narrow"/>
        <family val="2"/>
      </rPr>
      <t xml:space="preserve"> July</t>
    </r>
  </si>
  <si>
    <r>
      <t>8</t>
    </r>
    <r>
      <rPr>
        <sz val="8"/>
        <rFont val="華康粗圓體"/>
        <family val="3"/>
      </rPr>
      <t>月</t>
    </r>
    <r>
      <rPr>
        <sz val="8"/>
        <rFont val="Arial Narrow"/>
        <family val="2"/>
      </rPr>
      <t xml:space="preserve"> August</t>
    </r>
  </si>
  <si>
    <r>
      <t>9</t>
    </r>
    <r>
      <rPr>
        <sz val="8"/>
        <rFont val="華康粗圓體"/>
        <family val="3"/>
      </rPr>
      <t>月</t>
    </r>
    <r>
      <rPr>
        <sz val="8"/>
        <rFont val="Arial Narrow"/>
        <family val="2"/>
      </rPr>
      <t xml:space="preserve"> September</t>
    </r>
  </si>
  <si>
    <r>
      <t>10</t>
    </r>
    <r>
      <rPr>
        <sz val="8"/>
        <rFont val="華康粗圓體"/>
        <family val="3"/>
      </rPr>
      <t>月</t>
    </r>
    <r>
      <rPr>
        <sz val="8"/>
        <rFont val="Arial Narrow"/>
        <family val="2"/>
      </rPr>
      <t xml:space="preserve"> October</t>
    </r>
  </si>
  <si>
    <r>
      <t>11</t>
    </r>
    <r>
      <rPr>
        <sz val="8"/>
        <rFont val="華康粗圓體"/>
        <family val="3"/>
      </rPr>
      <t>月</t>
    </r>
    <r>
      <rPr>
        <sz val="8"/>
        <rFont val="Arial Narrow"/>
        <family val="2"/>
      </rPr>
      <t xml:space="preserve"> November</t>
    </r>
  </si>
  <si>
    <r>
      <t>12</t>
    </r>
    <r>
      <rPr>
        <sz val="8"/>
        <rFont val="華康粗圓體"/>
        <family val="3"/>
      </rPr>
      <t>月</t>
    </r>
    <r>
      <rPr>
        <sz val="8"/>
        <rFont val="Arial Narrow"/>
        <family val="2"/>
      </rPr>
      <t xml:space="preserve"> December</t>
    </r>
  </si>
  <si>
    <r>
      <t>表</t>
    </r>
    <r>
      <rPr>
        <sz val="12"/>
        <rFont val="Arial"/>
        <family val="2"/>
      </rPr>
      <t>6-8</t>
    </r>
    <r>
      <rPr>
        <sz val="12"/>
        <rFont val="華康粗圓體"/>
        <family val="3"/>
      </rPr>
      <t>、本縣公庫收支</t>
    </r>
  </si>
  <si>
    <r>
      <t>6-8</t>
    </r>
    <r>
      <rPr>
        <sz val="12"/>
        <rFont val="華康粗圓體"/>
        <family val="3"/>
      </rPr>
      <t>、</t>
    </r>
    <r>
      <rPr>
        <sz val="12"/>
        <rFont val="Arial"/>
        <family val="2"/>
      </rPr>
      <t>Revenues of Hsien Treasury</t>
    </r>
  </si>
  <si>
    <r>
      <t>資料來源：根據本府財政局</t>
    </r>
    <r>
      <rPr>
        <sz val="8"/>
        <rFont val="Arial Narrow"/>
        <family val="2"/>
      </rPr>
      <t xml:space="preserve"> 2612-01-01-2</t>
    </r>
    <r>
      <rPr>
        <sz val="8"/>
        <rFont val="華康中黑體"/>
        <family val="3"/>
      </rPr>
      <t>報表編製。</t>
    </r>
  </si>
  <si>
    <t>Source:Bureau of Finance.</t>
  </si>
  <si>
    <r>
      <t>Unit :NT</t>
    </r>
    <r>
      <rPr>
        <sz val="8"/>
        <rFont val="華康中黑體"/>
        <family val="3"/>
      </rPr>
      <t>＄</t>
    </r>
    <r>
      <rPr>
        <sz val="8"/>
        <rFont val="Arial Narrow"/>
        <family val="2"/>
      </rPr>
      <t>1000</t>
    </r>
  </si>
  <si>
    <t>　決　　算　</t>
  </si>
  <si>
    <t>Settled</t>
  </si>
  <si>
    <t>　預　　算　</t>
  </si>
  <si>
    <t>Budget</t>
  </si>
  <si>
    <r>
      <t>1</t>
    </r>
    <r>
      <rPr>
        <sz val="11"/>
        <rFont val="華康粗圓體"/>
        <family val="3"/>
      </rPr>
      <t>．收　入</t>
    </r>
  </si>
  <si>
    <r>
      <t>1</t>
    </r>
    <r>
      <rPr>
        <sz val="11"/>
        <rFont val="華康粗圓體"/>
        <family val="3"/>
      </rPr>
      <t>．</t>
    </r>
    <r>
      <rPr>
        <sz val="11"/>
        <rFont val="Arial"/>
        <family val="2"/>
      </rPr>
      <t>Revent</t>
    </r>
  </si>
  <si>
    <t>支</t>
  </si>
  <si>
    <t>出</t>
  </si>
  <si>
    <t>公庫結存</t>
  </si>
  <si>
    <t>年度別及月別</t>
  </si>
  <si>
    <t>總　　計</t>
  </si>
  <si>
    <t>本年度支出</t>
  </si>
  <si>
    <t>以前年度
支　　出</t>
  </si>
  <si>
    <t>Fiscal Year &amp; Month</t>
  </si>
  <si>
    <t>一般政務
支　　出</t>
  </si>
  <si>
    <t>教育科學
文化支出</t>
  </si>
  <si>
    <t>經建交通
支　　出</t>
  </si>
  <si>
    <t>社會福利
支　　出</t>
  </si>
  <si>
    <t>退休撫卹
支　　出</t>
  </si>
  <si>
    <t>警政支出</t>
  </si>
  <si>
    <t>信託管理
支　　出</t>
  </si>
  <si>
    <t>債務支出</t>
  </si>
  <si>
    <t>公營事業
基金支出</t>
  </si>
  <si>
    <t>其他
支出</t>
  </si>
  <si>
    <t>－</t>
  </si>
  <si>
    <r>
      <t>預</t>
    </r>
    <r>
      <rPr>
        <sz val="8"/>
        <rFont val="Arial Narrow"/>
        <family val="2"/>
      </rPr>
      <t xml:space="preserve">  </t>
    </r>
    <r>
      <rPr>
        <sz val="8"/>
        <rFont val="華康粗圓體"/>
        <family val="3"/>
      </rPr>
      <t>算</t>
    </r>
    <r>
      <rPr>
        <sz val="8"/>
        <rFont val="Arial Narrow"/>
        <family val="2"/>
      </rPr>
      <t xml:space="preserve">  </t>
    </r>
    <r>
      <rPr>
        <sz val="8"/>
        <rFont val="華康粗圓體"/>
        <family val="3"/>
      </rPr>
      <t>外
支　　出</t>
    </r>
  </si>
  <si>
    <r>
      <t>合　</t>
    </r>
    <r>
      <rPr>
        <sz val="8"/>
        <rFont val="Arial Narrow"/>
        <family val="2"/>
      </rPr>
      <t xml:space="preserve">  </t>
    </r>
    <r>
      <rPr>
        <sz val="8"/>
        <rFont val="華康粗圓體"/>
        <family val="3"/>
      </rPr>
      <t>計</t>
    </r>
  </si>
  <si>
    <r>
      <t>社</t>
    </r>
    <r>
      <rPr>
        <sz val="8"/>
        <rFont val="Arial Narrow"/>
        <family val="2"/>
      </rPr>
      <t xml:space="preserve"> </t>
    </r>
    <r>
      <rPr>
        <sz val="8"/>
        <rFont val="華康粗圓體"/>
        <family val="3"/>
      </rPr>
      <t>區</t>
    </r>
    <r>
      <rPr>
        <sz val="8"/>
        <rFont val="Arial Narrow"/>
        <family val="2"/>
      </rPr>
      <t xml:space="preserve"> </t>
    </r>
    <r>
      <rPr>
        <sz val="8"/>
        <rFont val="華康粗圓體"/>
        <family val="3"/>
      </rPr>
      <t>發</t>
    </r>
    <r>
      <rPr>
        <sz val="8"/>
        <rFont val="Arial Narrow"/>
        <family val="2"/>
      </rPr>
      <t xml:space="preserve"> </t>
    </r>
    <r>
      <rPr>
        <sz val="8"/>
        <rFont val="華康粗圓體"/>
        <family val="3"/>
      </rPr>
      <t>展</t>
    </r>
    <r>
      <rPr>
        <sz val="8"/>
        <rFont val="Arial Narrow"/>
        <family val="2"/>
      </rPr>
      <t xml:space="preserve"> </t>
    </r>
    <r>
      <rPr>
        <sz val="8"/>
        <rFont val="華康粗圓體"/>
        <family val="3"/>
      </rPr>
      <t>及
環境保護支出</t>
    </r>
  </si>
  <si>
    <r>
      <t>協</t>
    </r>
    <r>
      <rPr>
        <sz val="8"/>
        <rFont val="Arial Narrow"/>
        <family val="2"/>
      </rPr>
      <t xml:space="preserve">  </t>
    </r>
    <r>
      <rPr>
        <sz val="8"/>
        <rFont val="華康粗圓體"/>
        <family val="3"/>
      </rPr>
      <t>助</t>
    </r>
    <r>
      <rPr>
        <sz val="8"/>
        <rFont val="Arial Narrow"/>
        <family val="2"/>
      </rPr>
      <t xml:space="preserve">  </t>
    </r>
    <r>
      <rPr>
        <sz val="8"/>
        <rFont val="華康粗圓體"/>
        <family val="3"/>
      </rPr>
      <t>及
補助支出</t>
    </r>
  </si>
  <si>
    <t>Previous Year Expenditure</t>
  </si>
  <si>
    <t>Extrabudget Expenditure</t>
  </si>
  <si>
    <r>
      <t>88</t>
    </r>
    <r>
      <rPr>
        <sz val="8"/>
        <rFont val="華康粗圓體"/>
        <family val="3"/>
      </rPr>
      <t>年度</t>
    </r>
    <r>
      <rPr>
        <sz val="8"/>
        <rFont val="Arial Narrow"/>
        <family val="2"/>
      </rPr>
      <t>1999</t>
    </r>
  </si>
  <si>
    <r>
      <t>89</t>
    </r>
    <r>
      <rPr>
        <sz val="8"/>
        <rFont val="華康粗圓體"/>
        <family val="3"/>
      </rPr>
      <t>年度</t>
    </r>
    <r>
      <rPr>
        <sz val="8"/>
        <rFont val="Arial Narrow"/>
        <family val="2"/>
      </rPr>
      <t>2000</t>
    </r>
  </si>
  <si>
    <r>
      <t>90</t>
    </r>
    <r>
      <rPr>
        <sz val="8"/>
        <rFont val="華康粗圓體"/>
        <family val="3"/>
      </rPr>
      <t>年度</t>
    </r>
    <r>
      <rPr>
        <sz val="8"/>
        <rFont val="Arial Narrow"/>
        <family val="2"/>
      </rPr>
      <t>2001</t>
    </r>
  </si>
  <si>
    <r>
      <t>91</t>
    </r>
    <r>
      <rPr>
        <sz val="8"/>
        <rFont val="華康粗圓體"/>
        <family val="3"/>
      </rPr>
      <t>年度</t>
    </r>
    <r>
      <rPr>
        <sz val="8"/>
        <rFont val="Arial Narrow"/>
        <family val="2"/>
      </rPr>
      <t>2002</t>
    </r>
  </si>
  <si>
    <r>
      <t>92</t>
    </r>
    <r>
      <rPr>
        <sz val="8"/>
        <rFont val="華康粗圓體"/>
        <family val="3"/>
      </rPr>
      <t>年度</t>
    </r>
    <r>
      <rPr>
        <sz val="8"/>
        <rFont val="Arial Narrow"/>
        <family val="2"/>
      </rPr>
      <t>2003</t>
    </r>
  </si>
  <si>
    <r>
      <t>93</t>
    </r>
    <r>
      <rPr>
        <sz val="8"/>
        <rFont val="華康粗圓體"/>
        <family val="3"/>
      </rPr>
      <t>年度</t>
    </r>
    <r>
      <rPr>
        <sz val="8"/>
        <rFont val="Arial Narrow"/>
        <family val="2"/>
      </rPr>
      <t>2004</t>
    </r>
  </si>
  <si>
    <r>
      <t>94</t>
    </r>
    <r>
      <rPr>
        <sz val="8"/>
        <rFont val="華康粗圓體"/>
        <family val="3"/>
      </rPr>
      <t>年度</t>
    </r>
    <r>
      <rPr>
        <sz val="8"/>
        <rFont val="Arial Narrow"/>
        <family val="2"/>
      </rPr>
      <t>2005</t>
    </r>
  </si>
  <si>
    <r>
      <t>95</t>
    </r>
    <r>
      <rPr>
        <sz val="8"/>
        <rFont val="華康粗圓體"/>
        <family val="3"/>
      </rPr>
      <t>年度</t>
    </r>
    <r>
      <rPr>
        <sz val="8"/>
        <rFont val="Arial Narrow"/>
        <family val="2"/>
      </rPr>
      <t>2006</t>
    </r>
  </si>
  <si>
    <r>
      <t>1</t>
    </r>
    <r>
      <rPr>
        <sz val="8"/>
        <rFont val="華康粗圓體"/>
        <family val="3"/>
      </rPr>
      <t>月</t>
    </r>
    <r>
      <rPr>
        <sz val="8"/>
        <rFont val="Arial Narrow"/>
        <family val="2"/>
      </rPr>
      <t xml:space="preserve"> January</t>
    </r>
  </si>
  <si>
    <r>
      <t>2</t>
    </r>
    <r>
      <rPr>
        <sz val="8"/>
        <rFont val="華康粗圓體"/>
        <family val="3"/>
      </rPr>
      <t>月</t>
    </r>
    <r>
      <rPr>
        <sz val="8"/>
        <rFont val="Arial Narrow"/>
        <family val="2"/>
      </rPr>
      <t xml:space="preserve"> February</t>
    </r>
  </si>
  <si>
    <r>
      <t>3</t>
    </r>
    <r>
      <rPr>
        <sz val="8"/>
        <rFont val="華康粗圓體"/>
        <family val="3"/>
      </rPr>
      <t>月</t>
    </r>
    <r>
      <rPr>
        <sz val="8"/>
        <rFont val="Arial Narrow"/>
        <family val="2"/>
      </rPr>
      <t xml:space="preserve"> March</t>
    </r>
  </si>
  <si>
    <r>
      <t>4</t>
    </r>
    <r>
      <rPr>
        <sz val="8"/>
        <rFont val="華康粗圓體"/>
        <family val="3"/>
      </rPr>
      <t>月</t>
    </r>
    <r>
      <rPr>
        <sz val="8"/>
        <rFont val="Arial Narrow"/>
        <family val="2"/>
      </rPr>
      <t xml:space="preserve"> April</t>
    </r>
  </si>
  <si>
    <r>
      <t>5</t>
    </r>
    <r>
      <rPr>
        <sz val="8"/>
        <rFont val="華康粗圓體"/>
        <family val="3"/>
      </rPr>
      <t>月</t>
    </r>
    <r>
      <rPr>
        <sz val="8"/>
        <rFont val="Arial Narrow"/>
        <family val="2"/>
      </rPr>
      <t xml:space="preserve"> May</t>
    </r>
  </si>
  <si>
    <r>
      <t>6</t>
    </r>
    <r>
      <rPr>
        <sz val="8"/>
        <rFont val="華康粗圓體"/>
        <family val="3"/>
      </rPr>
      <t>月</t>
    </r>
    <r>
      <rPr>
        <sz val="8"/>
        <rFont val="Arial Narrow"/>
        <family val="2"/>
      </rPr>
      <t xml:space="preserve"> June</t>
    </r>
  </si>
  <si>
    <r>
      <t>7</t>
    </r>
    <r>
      <rPr>
        <sz val="8"/>
        <rFont val="華康粗圓體"/>
        <family val="3"/>
      </rPr>
      <t>月</t>
    </r>
    <r>
      <rPr>
        <sz val="8"/>
        <rFont val="Arial Narrow"/>
        <family val="2"/>
      </rPr>
      <t xml:space="preserve"> July</t>
    </r>
  </si>
  <si>
    <r>
      <t>8</t>
    </r>
    <r>
      <rPr>
        <sz val="8"/>
        <rFont val="華康粗圓體"/>
        <family val="3"/>
      </rPr>
      <t>月</t>
    </r>
    <r>
      <rPr>
        <sz val="8"/>
        <rFont val="Arial Narrow"/>
        <family val="2"/>
      </rPr>
      <t xml:space="preserve"> August</t>
    </r>
  </si>
  <si>
    <r>
      <t>9</t>
    </r>
    <r>
      <rPr>
        <sz val="8"/>
        <rFont val="華康粗圓體"/>
        <family val="3"/>
      </rPr>
      <t>月</t>
    </r>
    <r>
      <rPr>
        <sz val="8"/>
        <rFont val="Arial Narrow"/>
        <family val="2"/>
      </rPr>
      <t xml:space="preserve"> September</t>
    </r>
  </si>
  <si>
    <r>
      <t>10</t>
    </r>
    <r>
      <rPr>
        <sz val="8"/>
        <rFont val="華康粗圓體"/>
        <family val="3"/>
      </rPr>
      <t>月</t>
    </r>
    <r>
      <rPr>
        <sz val="8"/>
        <rFont val="Arial Narrow"/>
        <family val="2"/>
      </rPr>
      <t xml:space="preserve"> October</t>
    </r>
  </si>
  <si>
    <r>
      <t>11</t>
    </r>
    <r>
      <rPr>
        <sz val="8"/>
        <rFont val="華康粗圓體"/>
        <family val="3"/>
      </rPr>
      <t>月</t>
    </r>
    <r>
      <rPr>
        <sz val="8"/>
        <rFont val="Arial Narrow"/>
        <family val="2"/>
      </rPr>
      <t xml:space="preserve"> November</t>
    </r>
  </si>
  <si>
    <r>
      <t>12</t>
    </r>
    <r>
      <rPr>
        <sz val="8"/>
        <rFont val="華康粗圓體"/>
        <family val="3"/>
      </rPr>
      <t>月</t>
    </r>
    <r>
      <rPr>
        <sz val="8"/>
        <rFont val="Arial Narrow"/>
        <family val="2"/>
      </rPr>
      <t xml:space="preserve"> December</t>
    </r>
  </si>
  <si>
    <r>
      <t>表</t>
    </r>
    <r>
      <rPr>
        <sz val="12"/>
        <rFont val="Arial"/>
        <family val="2"/>
      </rPr>
      <t>6-8</t>
    </r>
    <r>
      <rPr>
        <sz val="12"/>
        <rFont val="華康粗圓體"/>
        <family val="3"/>
      </rPr>
      <t>、本縣公庫收支</t>
    </r>
    <r>
      <rPr>
        <sz val="12"/>
        <rFont val="Arial"/>
        <family val="2"/>
      </rPr>
      <t>(</t>
    </r>
    <r>
      <rPr>
        <sz val="12"/>
        <rFont val="華康粗圓體"/>
        <family val="3"/>
      </rPr>
      <t>續</t>
    </r>
    <r>
      <rPr>
        <sz val="12"/>
        <rFont val="Arial"/>
        <family val="2"/>
      </rPr>
      <t>)</t>
    </r>
  </si>
  <si>
    <r>
      <t>6-8</t>
    </r>
    <r>
      <rPr>
        <sz val="12"/>
        <rFont val="華康粗圓體"/>
        <family val="3"/>
      </rPr>
      <t>、</t>
    </r>
    <r>
      <rPr>
        <sz val="12"/>
        <rFont val="Arial"/>
        <family val="2"/>
      </rPr>
      <t>Expenditures of Hsien Treasuy(Cont.)</t>
    </r>
  </si>
  <si>
    <t>單位：新台幣千元</t>
  </si>
  <si>
    <r>
      <t>Unit :NT</t>
    </r>
    <r>
      <rPr>
        <sz val="8"/>
        <rFont val="華康中黑體"/>
        <family val="3"/>
      </rPr>
      <t>＄</t>
    </r>
    <r>
      <rPr>
        <sz val="8"/>
        <rFont val="Arial Narrow"/>
        <family val="2"/>
      </rPr>
      <t>1000</t>
    </r>
  </si>
  <si>
    <r>
      <t>2</t>
    </r>
    <r>
      <rPr>
        <sz val="11"/>
        <rFont val="華康粗圓體"/>
        <family val="3"/>
      </rPr>
      <t>．支　出</t>
    </r>
  </si>
  <si>
    <r>
      <t>2</t>
    </r>
    <r>
      <rPr>
        <sz val="11"/>
        <rFont val="華康粗圓體"/>
        <family val="3"/>
      </rPr>
      <t>．</t>
    </r>
    <r>
      <rPr>
        <sz val="11"/>
        <rFont val="Arial"/>
        <family val="2"/>
      </rPr>
      <t>Expenditures</t>
    </r>
  </si>
  <si>
    <t>收</t>
  </si>
  <si>
    <t>入</t>
  </si>
  <si>
    <t>Revent</t>
  </si>
  <si>
    <t>本年度收入</t>
  </si>
  <si>
    <t>Current Year Revent</t>
  </si>
  <si>
    <t>以前年度
收　　入</t>
  </si>
  <si>
    <t>合　計</t>
  </si>
  <si>
    <t>稅課收入</t>
  </si>
  <si>
    <t>規費收入</t>
  </si>
  <si>
    <t>信託管理
收　　入</t>
  </si>
  <si>
    <t>營業盈餘及
事業收入</t>
  </si>
  <si>
    <t>自治稅捐
收　　入</t>
  </si>
  <si>
    <t>賒借收入</t>
  </si>
  <si>
    <t>其他收入</t>
  </si>
  <si>
    <r>
      <t>預</t>
    </r>
    <r>
      <rPr>
        <sz val="8"/>
        <rFont val="Arial Narrow"/>
        <family val="2"/>
      </rPr>
      <t xml:space="preserve">  </t>
    </r>
    <r>
      <rPr>
        <sz val="8"/>
        <rFont val="華康粗圓體"/>
        <family val="3"/>
      </rPr>
      <t>算</t>
    </r>
    <r>
      <rPr>
        <sz val="8"/>
        <rFont val="Arial Narrow"/>
        <family val="2"/>
      </rPr>
      <t xml:space="preserve">  </t>
    </r>
    <r>
      <rPr>
        <sz val="8"/>
        <rFont val="華康粗圓體"/>
        <family val="3"/>
      </rPr>
      <t>外
收　　入</t>
    </r>
  </si>
  <si>
    <r>
      <t>工程受益
費</t>
    </r>
    <r>
      <rPr>
        <sz val="8"/>
        <rFont val="Arial Narrow"/>
        <family val="2"/>
      </rPr>
      <t xml:space="preserve">  </t>
    </r>
    <r>
      <rPr>
        <sz val="8"/>
        <rFont val="華康粗圓體"/>
        <family val="3"/>
      </rPr>
      <t>收</t>
    </r>
    <r>
      <rPr>
        <sz val="8"/>
        <rFont val="Arial Narrow"/>
        <family val="2"/>
      </rPr>
      <t xml:space="preserve">  </t>
    </r>
    <r>
      <rPr>
        <sz val="8"/>
        <rFont val="華康粗圓體"/>
        <family val="3"/>
      </rPr>
      <t>入</t>
    </r>
  </si>
  <si>
    <r>
      <t>罰款及賠
償</t>
    </r>
    <r>
      <rPr>
        <sz val="8"/>
        <rFont val="Arial Narrow"/>
        <family val="2"/>
      </rPr>
      <t xml:space="preserve">  </t>
    </r>
    <r>
      <rPr>
        <sz val="8"/>
        <rFont val="華康粗圓體"/>
        <family val="3"/>
      </rPr>
      <t>收</t>
    </r>
    <r>
      <rPr>
        <sz val="8"/>
        <rFont val="Arial Narrow"/>
        <family val="2"/>
      </rPr>
      <t xml:space="preserve">  </t>
    </r>
    <r>
      <rPr>
        <sz val="8"/>
        <rFont val="華康粗圓體"/>
        <family val="3"/>
      </rPr>
      <t>入</t>
    </r>
  </si>
  <si>
    <r>
      <t xml:space="preserve">財產收入
</t>
    </r>
    <r>
      <rPr>
        <sz val="8"/>
        <rFont val="Arial Narrow"/>
        <family val="2"/>
      </rPr>
      <t xml:space="preserve"> Receipts from Property</t>
    </r>
  </si>
  <si>
    <r>
      <t>補</t>
    </r>
    <r>
      <rPr>
        <sz val="8"/>
        <rFont val="Arial Narrow"/>
        <family val="2"/>
      </rPr>
      <t xml:space="preserve">  </t>
    </r>
    <r>
      <rPr>
        <sz val="8"/>
        <rFont val="華康粗圓體"/>
        <family val="3"/>
      </rPr>
      <t>助</t>
    </r>
    <r>
      <rPr>
        <sz val="8"/>
        <rFont val="Arial Narrow"/>
        <family val="2"/>
      </rPr>
      <t xml:space="preserve">  </t>
    </r>
    <r>
      <rPr>
        <sz val="8"/>
        <rFont val="華康粗圓體"/>
        <family val="3"/>
      </rPr>
      <t>及</t>
    </r>
    <r>
      <rPr>
        <sz val="8"/>
        <rFont val="Arial Narrow"/>
        <family val="2"/>
      </rPr>
      <t xml:space="preserve"> 
</t>
    </r>
    <r>
      <rPr>
        <sz val="8"/>
        <rFont val="華康粗圓體"/>
        <family val="3"/>
      </rPr>
      <t>協助收入</t>
    </r>
  </si>
  <si>
    <r>
      <t>捐</t>
    </r>
    <r>
      <rPr>
        <sz val="8"/>
        <rFont val="Arial Narrow"/>
        <family val="2"/>
      </rPr>
      <t xml:space="preserve">  </t>
    </r>
    <r>
      <rPr>
        <sz val="8"/>
        <rFont val="華康粗圓體"/>
        <family val="3"/>
      </rPr>
      <t>獻</t>
    </r>
    <r>
      <rPr>
        <sz val="8"/>
        <rFont val="Arial Narrow"/>
        <family val="2"/>
      </rPr>
      <t xml:space="preserve">  </t>
    </r>
    <r>
      <rPr>
        <sz val="8"/>
        <rFont val="華康粗圓體"/>
        <family val="3"/>
      </rPr>
      <t>及
贈與收入</t>
    </r>
  </si>
  <si>
    <r>
      <t>資料來源：根據本府財政局</t>
    </r>
    <r>
      <rPr>
        <sz val="8"/>
        <rFont val="Arial Narrow"/>
        <family val="2"/>
      </rPr>
      <t>2612-01-03-2</t>
    </r>
    <r>
      <rPr>
        <sz val="8"/>
        <rFont val="華康中黑體"/>
        <family val="3"/>
      </rPr>
      <t>報表編製。</t>
    </r>
  </si>
  <si>
    <r>
      <t>備註：</t>
    </r>
    <r>
      <rPr>
        <sz val="8"/>
        <rFont val="Arial Narrow"/>
        <family val="2"/>
      </rPr>
      <t>1.88</t>
    </r>
    <r>
      <rPr>
        <sz val="8"/>
        <rFont val="華康中黑體"/>
        <family val="3"/>
      </rPr>
      <t>年更正會計年度，故</t>
    </r>
    <r>
      <rPr>
        <sz val="8"/>
        <rFont val="Arial Narrow"/>
        <family val="2"/>
      </rPr>
      <t>88</t>
    </r>
    <r>
      <rPr>
        <sz val="8"/>
        <rFont val="華康中黑體"/>
        <family val="3"/>
      </rPr>
      <t>年下半年併入</t>
    </r>
    <r>
      <rPr>
        <sz val="8"/>
        <rFont val="Arial Narrow"/>
        <family val="2"/>
      </rPr>
      <t>89</t>
    </r>
    <r>
      <rPr>
        <sz val="8"/>
        <rFont val="華康中黑體"/>
        <family val="3"/>
      </rPr>
      <t>年度。</t>
    </r>
  </si>
  <si>
    <t xml:space="preserve">            2.All items do not add up to grand total because of rounding error.</t>
  </si>
  <si>
    <r>
      <t>　　　</t>
    </r>
    <r>
      <rPr>
        <sz val="8"/>
        <rFont val="Arial Narrow"/>
        <family val="2"/>
      </rPr>
      <t>2.</t>
    </r>
    <r>
      <rPr>
        <sz val="8"/>
        <rFont val="華康中黑體"/>
        <family val="3"/>
      </rPr>
      <t>總計與細目不合係因四捨五入誤差所致。</t>
    </r>
  </si>
  <si>
    <r>
      <t>Note</t>
    </r>
    <r>
      <rPr>
        <sz val="8"/>
        <rFont val="華康中黑體"/>
        <family val="3"/>
      </rPr>
      <t>：</t>
    </r>
    <r>
      <rPr>
        <sz val="8"/>
        <rFont val="Arial Narrow"/>
        <family val="2"/>
      </rPr>
      <t>1.Since the fiscal year changed in 1999, the second half of 1999 was included in 2000.</t>
    </r>
  </si>
  <si>
    <r>
      <t>表</t>
    </r>
    <r>
      <rPr>
        <sz val="12"/>
        <rFont val="Arial"/>
        <family val="2"/>
      </rPr>
      <t>6-9</t>
    </r>
    <r>
      <rPr>
        <sz val="12"/>
        <rFont val="華康粗圓體"/>
        <family val="3"/>
      </rPr>
      <t>、本縣各鄉鎮市公庫收支</t>
    </r>
  </si>
  <si>
    <r>
      <t>6-9</t>
    </r>
    <r>
      <rPr>
        <sz val="12"/>
        <rFont val="華康粗圓體"/>
        <family val="3"/>
      </rPr>
      <t>、</t>
    </r>
    <r>
      <rPr>
        <sz val="12"/>
        <rFont val="Arial"/>
        <family val="2"/>
      </rPr>
      <t>Revenues of Township Treasuies</t>
    </r>
  </si>
  <si>
    <r>
      <t>1</t>
    </r>
    <r>
      <rPr>
        <sz val="12"/>
        <rFont val="華康粗圓體"/>
        <family val="3"/>
      </rPr>
      <t>．收　入</t>
    </r>
  </si>
  <si>
    <r>
      <t>1</t>
    </r>
    <r>
      <rPr>
        <sz val="12"/>
        <rFont val="華康粗圓體"/>
        <family val="3"/>
      </rPr>
      <t>．</t>
    </r>
    <r>
      <rPr>
        <sz val="12"/>
        <rFont val="Arial"/>
        <family val="2"/>
      </rPr>
      <t>Revent</t>
    </r>
  </si>
  <si>
    <t>支</t>
  </si>
  <si>
    <t>出</t>
  </si>
  <si>
    <t>公庫結存</t>
  </si>
  <si>
    <t>總　　計</t>
  </si>
  <si>
    <t>本年度支出</t>
  </si>
  <si>
    <t>以前年度
支　　出</t>
  </si>
  <si>
    <t>一般政務
支　　出</t>
  </si>
  <si>
    <t>教育科學
文化支出</t>
  </si>
  <si>
    <t>經建交通
支　　出</t>
  </si>
  <si>
    <t>社會福利
支　　出</t>
  </si>
  <si>
    <t>退休撫卹
支　　出</t>
  </si>
  <si>
    <t>債務支出</t>
  </si>
  <si>
    <t>公營事業
基金支出</t>
  </si>
  <si>
    <t>其他
支出</t>
  </si>
  <si>
    <r>
      <t>預</t>
    </r>
    <r>
      <rPr>
        <sz val="8"/>
        <rFont val="Arial Narrow"/>
        <family val="2"/>
      </rPr>
      <t xml:space="preserve">  </t>
    </r>
    <r>
      <rPr>
        <sz val="8"/>
        <rFont val="華康粗圓體"/>
        <family val="3"/>
      </rPr>
      <t>算</t>
    </r>
    <r>
      <rPr>
        <sz val="8"/>
        <rFont val="Arial Narrow"/>
        <family val="2"/>
      </rPr>
      <t xml:space="preserve">  </t>
    </r>
    <r>
      <rPr>
        <sz val="8"/>
        <rFont val="華康粗圓體"/>
        <family val="3"/>
      </rPr>
      <t>外
支　　出</t>
    </r>
  </si>
  <si>
    <r>
      <t>合　</t>
    </r>
    <r>
      <rPr>
        <sz val="8"/>
        <rFont val="Arial Narrow"/>
        <family val="2"/>
      </rPr>
      <t xml:space="preserve">  </t>
    </r>
    <r>
      <rPr>
        <sz val="8"/>
        <rFont val="華康粗圓體"/>
        <family val="3"/>
      </rPr>
      <t>計</t>
    </r>
  </si>
  <si>
    <r>
      <t>社</t>
    </r>
    <r>
      <rPr>
        <sz val="8"/>
        <rFont val="Arial Narrow"/>
        <family val="2"/>
      </rPr>
      <t xml:space="preserve"> </t>
    </r>
    <r>
      <rPr>
        <sz val="8"/>
        <rFont val="華康粗圓體"/>
        <family val="3"/>
      </rPr>
      <t>區</t>
    </r>
    <r>
      <rPr>
        <sz val="8"/>
        <rFont val="Arial Narrow"/>
        <family val="2"/>
      </rPr>
      <t xml:space="preserve"> </t>
    </r>
    <r>
      <rPr>
        <sz val="8"/>
        <rFont val="華康粗圓體"/>
        <family val="3"/>
      </rPr>
      <t>發</t>
    </r>
    <r>
      <rPr>
        <sz val="8"/>
        <rFont val="Arial Narrow"/>
        <family val="2"/>
      </rPr>
      <t xml:space="preserve"> </t>
    </r>
    <r>
      <rPr>
        <sz val="8"/>
        <rFont val="華康粗圓體"/>
        <family val="3"/>
      </rPr>
      <t>展</t>
    </r>
    <r>
      <rPr>
        <sz val="8"/>
        <rFont val="Arial Narrow"/>
        <family val="2"/>
      </rPr>
      <t xml:space="preserve"> </t>
    </r>
    <r>
      <rPr>
        <sz val="8"/>
        <rFont val="華康粗圓體"/>
        <family val="3"/>
      </rPr>
      <t>及
環境保護支出</t>
    </r>
  </si>
  <si>
    <r>
      <t>協</t>
    </r>
    <r>
      <rPr>
        <sz val="8"/>
        <rFont val="Arial Narrow"/>
        <family val="2"/>
      </rPr>
      <t xml:space="preserve">  </t>
    </r>
    <r>
      <rPr>
        <sz val="8"/>
        <rFont val="華康粗圓體"/>
        <family val="3"/>
      </rPr>
      <t>助</t>
    </r>
    <r>
      <rPr>
        <sz val="8"/>
        <rFont val="Arial Narrow"/>
        <family val="2"/>
      </rPr>
      <t xml:space="preserve">  </t>
    </r>
    <r>
      <rPr>
        <sz val="8"/>
        <rFont val="華康粗圓體"/>
        <family val="3"/>
      </rPr>
      <t>及
補助支出</t>
    </r>
  </si>
  <si>
    <r>
      <t>表</t>
    </r>
    <r>
      <rPr>
        <sz val="12"/>
        <rFont val="Arial"/>
        <family val="2"/>
      </rPr>
      <t>6-9</t>
    </r>
    <r>
      <rPr>
        <sz val="12"/>
        <rFont val="華康粗圓體"/>
        <family val="3"/>
      </rPr>
      <t>、本縣各鄉鎮市公庫收支</t>
    </r>
    <r>
      <rPr>
        <sz val="12"/>
        <rFont val="Arial"/>
        <family val="2"/>
      </rPr>
      <t>(</t>
    </r>
    <r>
      <rPr>
        <sz val="12"/>
        <rFont val="華康粗圓體"/>
        <family val="3"/>
      </rPr>
      <t>續</t>
    </r>
    <r>
      <rPr>
        <sz val="12"/>
        <rFont val="Arial"/>
        <family val="2"/>
      </rPr>
      <t>)</t>
    </r>
  </si>
  <si>
    <r>
      <t>6-9</t>
    </r>
    <r>
      <rPr>
        <sz val="12"/>
        <rFont val="華康粗圓體"/>
        <family val="3"/>
      </rPr>
      <t>、</t>
    </r>
    <r>
      <rPr>
        <sz val="12"/>
        <rFont val="Arial"/>
        <family val="2"/>
      </rPr>
      <t>Revenues of Township Treasuies(Cont.)</t>
    </r>
  </si>
  <si>
    <r>
      <t>2</t>
    </r>
    <r>
      <rPr>
        <sz val="11"/>
        <rFont val="華康粗圓體"/>
        <family val="3"/>
      </rPr>
      <t>．支　出</t>
    </r>
  </si>
  <si>
    <r>
      <t>2</t>
    </r>
    <r>
      <rPr>
        <sz val="11"/>
        <rFont val="華康粗圓體"/>
        <family val="3"/>
      </rPr>
      <t>．</t>
    </r>
    <r>
      <rPr>
        <sz val="11"/>
        <rFont val="Arial"/>
        <family val="2"/>
      </rPr>
      <t>Expenditures</t>
    </r>
  </si>
  <si>
    <r>
      <t>罰</t>
    </r>
    <r>
      <rPr>
        <sz val="8.5"/>
        <rFont val="Arial Narrow"/>
        <family val="2"/>
      </rPr>
      <t xml:space="preserve">  </t>
    </r>
    <r>
      <rPr>
        <sz val="8.5"/>
        <rFont val="華康粗圓體"/>
        <family val="3"/>
      </rPr>
      <t>款</t>
    </r>
    <r>
      <rPr>
        <sz val="8.5"/>
        <rFont val="Arial Narrow"/>
        <family val="2"/>
      </rPr>
      <t xml:space="preserve">  </t>
    </r>
    <r>
      <rPr>
        <sz val="8.5"/>
        <rFont val="華康粗圓體"/>
        <family val="3"/>
      </rPr>
      <t>及
賠償收入</t>
    </r>
  </si>
  <si>
    <r>
      <t>營業盈餘及
事</t>
    </r>
    <r>
      <rPr>
        <sz val="8.5"/>
        <rFont val="Arial Narrow"/>
        <family val="2"/>
      </rPr>
      <t xml:space="preserve"> </t>
    </r>
    <r>
      <rPr>
        <sz val="8.5"/>
        <rFont val="華康粗圓體"/>
        <family val="3"/>
      </rPr>
      <t>業</t>
    </r>
    <r>
      <rPr>
        <sz val="8.5"/>
        <rFont val="Arial Narrow"/>
        <family val="2"/>
      </rPr>
      <t xml:space="preserve"> </t>
    </r>
    <r>
      <rPr>
        <sz val="8.5"/>
        <rFont val="華康粗圓體"/>
        <family val="3"/>
      </rPr>
      <t>收</t>
    </r>
    <r>
      <rPr>
        <sz val="8.5"/>
        <rFont val="Arial Narrow"/>
        <family val="2"/>
      </rPr>
      <t xml:space="preserve"> </t>
    </r>
    <r>
      <rPr>
        <sz val="8.5"/>
        <rFont val="華康粗圓體"/>
        <family val="3"/>
      </rPr>
      <t>入</t>
    </r>
  </si>
  <si>
    <r>
      <t>補</t>
    </r>
    <r>
      <rPr>
        <sz val="8.5"/>
        <rFont val="Arial Narrow"/>
        <family val="2"/>
      </rPr>
      <t xml:space="preserve">  </t>
    </r>
    <r>
      <rPr>
        <sz val="8.5"/>
        <rFont val="華康粗圓體"/>
        <family val="3"/>
      </rPr>
      <t>助</t>
    </r>
    <r>
      <rPr>
        <sz val="8.5"/>
        <rFont val="Arial Narrow"/>
        <family val="2"/>
      </rPr>
      <t xml:space="preserve">  </t>
    </r>
    <r>
      <rPr>
        <sz val="8.5"/>
        <rFont val="華康粗圓體"/>
        <family val="3"/>
      </rPr>
      <t>及
協助收入</t>
    </r>
  </si>
  <si>
    <r>
      <t>捐</t>
    </r>
    <r>
      <rPr>
        <sz val="8.5"/>
        <rFont val="Arial Narrow"/>
        <family val="2"/>
      </rPr>
      <t xml:space="preserve">  </t>
    </r>
    <r>
      <rPr>
        <sz val="8.5"/>
        <rFont val="華康粗圓體"/>
        <family val="3"/>
      </rPr>
      <t>獻</t>
    </r>
    <r>
      <rPr>
        <sz val="8.5"/>
        <rFont val="Arial Narrow"/>
        <family val="2"/>
      </rPr>
      <t xml:space="preserve">  </t>
    </r>
    <r>
      <rPr>
        <sz val="8.5"/>
        <rFont val="華康粗圓體"/>
        <family val="3"/>
      </rPr>
      <t>及
贈與收入</t>
    </r>
  </si>
  <si>
    <r>
      <t xml:space="preserve">    </t>
    </r>
    <r>
      <rPr>
        <sz val="8.5"/>
        <rFont val="華康粗圓體"/>
        <family val="3"/>
      </rPr>
      <t>民國</t>
    </r>
    <r>
      <rPr>
        <sz val="8.5"/>
        <rFont val="Arial Narrow"/>
        <family val="2"/>
      </rPr>
      <t>87</t>
    </r>
    <r>
      <rPr>
        <sz val="8.5"/>
        <rFont val="華康粗圓體"/>
        <family val="3"/>
      </rPr>
      <t>年度</t>
    </r>
  </si>
  <si>
    <r>
      <t>原預算</t>
    </r>
    <r>
      <rPr>
        <sz val="7.5"/>
        <rFont val="Arial Narrow"/>
        <family val="2"/>
      </rPr>
      <t xml:space="preserve"> Original Budgets</t>
    </r>
  </si>
  <si>
    <t>－</t>
  </si>
  <si>
    <r>
      <t>追加減後預算</t>
    </r>
    <r>
      <rPr>
        <sz val="7.5"/>
        <rFont val="Arial Narrow"/>
        <family val="2"/>
      </rPr>
      <t xml:space="preserve"> Budgets after Reapportionments</t>
    </r>
  </si>
  <si>
    <t>－</t>
  </si>
  <si>
    <r>
      <t xml:space="preserve">    88</t>
    </r>
    <r>
      <rPr>
        <sz val="8.5"/>
        <rFont val="華康粗圓體"/>
        <family val="3"/>
      </rPr>
      <t>年度</t>
    </r>
  </si>
  <si>
    <r>
      <t>原預算</t>
    </r>
    <r>
      <rPr>
        <sz val="7.5"/>
        <rFont val="Arial Narrow"/>
        <family val="2"/>
      </rPr>
      <t xml:space="preserve"> Original Budgets</t>
    </r>
  </si>
  <si>
    <r>
      <t>88</t>
    </r>
    <r>
      <rPr>
        <sz val="8.5"/>
        <rFont val="華康粗圓體"/>
        <family val="3"/>
      </rPr>
      <t>年下半年及</t>
    </r>
    <r>
      <rPr>
        <sz val="8.5"/>
        <rFont val="Arial Narrow"/>
        <family val="2"/>
      </rPr>
      <t>89</t>
    </r>
    <r>
      <rPr>
        <sz val="8.5"/>
        <rFont val="華康粗圓體"/>
        <family val="3"/>
      </rPr>
      <t xml:space="preserve">年度
</t>
    </r>
    <r>
      <rPr>
        <sz val="7"/>
        <rFont val="Arial Narrow"/>
        <family val="2"/>
      </rPr>
      <t>07/01/1999~12/31/2000</t>
    </r>
  </si>
  <si>
    <r>
      <t>原預算</t>
    </r>
    <r>
      <rPr>
        <sz val="7.5"/>
        <rFont val="Arial Narrow"/>
        <family val="2"/>
      </rPr>
      <t xml:space="preserve"> Original Budgets</t>
    </r>
  </si>
  <si>
    <r>
      <t xml:space="preserve">    90</t>
    </r>
    <r>
      <rPr>
        <sz val="8.5"/>
        <rFont val="華康粗圓體"/>
        <family val="3"/>
      </rPr>
      <t>年度</t>
    </r>
  </si>
  <si>
    <r>
      <t xml:space="preserve">    91</t>
    </r>
    <r>
      <rPr>
        <sz val="8.5"/>
        <rFont val="華康粗圓體"/>
        <family val="3"/>
      </rPr>
      <t>年度</t>
    </r>
  </si>
  <si>
    <r>
      <t xml:space="preserve">    92</t>
    </r>
    <r>
      <rPr>
        <sz val="8.5"/>
        <rFont val="華康粗圓體"/>
        <family val="3"/>
      </rPr>
      <t>年度</t>
    </r>
  </si>
  <si>
    <r>
      <t xml:space="preserve">    93</t>
    </r>
    <r>
      <rPr>
        <sz val="8.5"/>
        <rFont val="華康粗圓體"/>
        <family val="3"/>
      </rPr>
      <t>年度</t>
    </r>
  </si>
  <si>
    <r>
      <t xml:space="preserve">    94</t>
    </r>
    <r>
      <rPr>
        <sz val="8.5"/>
        <rFont val="華康粗圓體"/>
        <family val="3"/>
      </rPr>
      <t>年度</t>
    </r>
  </si>
  <si>
    <r>
      <t xml:space="preserve">    95</t>
    </r>
    <r>
      <rPr>
        <sz val="8.5"/>
        <rFont val="華康粗圓體"/>
        <family val="3"/>
      </rPr>
      <t>年度</t>
    </r>
  </si>
  <si>
    <r>
      <t xml:space="preserve">    96</t>
    </r>
    <r>
      <rPr>
        <sz val="8.5"/>
        <rFont val="華康粗圓體"/>
        <family val="3"/>
      </rPr>
      <t>年度</t>
    </r>
  </si>
  <si>
    <r>
      <t xml:space="preserve">    97</t>
    </r>
    <r>
      <rPr>
        <sz val="8.5"/>
        <rFont val="華康粗圓體"/>
        <family val="3"/>
      </rPr>
      <t>年度</t>
    </r>
  </si>
  <si>
    <r>
      <t>表</t>
    </r>
    <r>
      <rPr>
        <sz val="12"/>
        <rFont val="Arial"/>
        <family val="2"/>
      </rPr>
      <t xml:space="preserve"> 6-10</t>
    </r>
    <r>
      <rPr>
        <sz val="12"/>
        <rFont val="華康粗圓體"/>
        <family val="3"/>
      </rPr>
      <t>、</t>
    </r>
    <r>
      <rPr>
        <sz val="12"/>
        <rFont val="Arial"/>
        <family val="2"/>
      </rPr>
      <t xml:space="preserve"> </t>
    </r>
    <r>
      <rPr>
        <sz val="12"/>
        <rFont val="華康粗圓體"/>
        <family val="3"/>
      </rPr>
      <t>各鄉鎮市歲入預決算－按來源別分</t>
    </r>
  </si>
  <si>
    <r>
      <t>6-10</t>
    </r>
    <r>
      <rPr>
        <sz val="12"/>
        <rFont val="華康粗圓體"/>
        <family val="3"/>
      </rPr>
      <t>、</t>
    </r>
    <r>
      <rPr>
        <sz val="12"/>
        <rFont val="Arial"/>
        <family val="2"/>
      </rPr>
      <t xml:space="preserve"> Budget and Settled Account of Revenues of Township Offices</t>
    </r>
  </si>
  <si>
    <t>預　算</t>
  </si>
  <si>
    <t xml:space="preserve">Budget     </t>
  </si>
  <si>
    <t>Source: Budgets of all cities under Taoyuan County's jurisdiction and their reapportionments.</t>
  </si>
  <si>
    <r>
      <t>資料來源：桃園縣各鄉鎮</t>
    </r>
    <r>
      <rPr>
        <sz val="8.5"/>
        <rFont val="Arial Narrow"/>
        <family val="2"/>
      </rPr>
      <t>(</t>
    </r>
    <r>
      <rPr>
        <sz val="8.5"/>
        <rFont val="華康中黑體"/>
        <family val="3"/>
      </rPr>
      <t>市</t>
    </r>
    <r>
      <rPr>
        <sz val="8.5"/>
        <rFont val="Arial Narrow"/>
        <family val="2"/>
      </rPr>
      <t>)</t>
    </r>
    <r>
      <rPr>
        <sz val="8.5"/>
        <rFont val="華康中黑體"/>
        <family val="3"/>
      </rPr>
      <t>總預算彙編、桃園縣各鄉鎮</t>
    </r>
    <r>
      <rPr>
        <sz val="8.5"/>
        <rFont val="Arial Narrow"/>
        <family val="2"/>
      </rPr>
      <t>(</t>
    </r>
    <r>
      <rPr>
        <sz val="8.5"/>
        <rFont val="華康中黑體"/>
        <family val="3"/>
      </rPr>
      <t>市</t>
    </r>
    <r>
      <rPr>
        <sz val="8.5"/>
        <rFont val="Arial Narrow"/>
        <family val="2"/>
      </rPr>
      <t>)</t>
    </r>
    <r>
      <rPr>
        <sz val="8.5"/>
        <rFont val="華康中黑體"/>
        <family val="3"/>
      </rPr>
      <t>追加減預算資料</t>
    </r>
  </si>
  <si>
    <r>
      <t>Unit</t>
    </r>
    <r>
      <rPr>
        <sz val="9"/>
        <rFont val="華康中黑體"/>
        <family val="3"/>
      </rPr>
      <t>：</t>
    </r>
    <r>
      <rPr>
        <sz val="9"/>
        <rFont val="Arial Narrow"/>
        <family val="2"/>
      </rPr>
      <t xml:space="preserve">N.T.$1,000 </t>
    </r>
  </si>
  <si>
    <t>Credit Dept. of Farmer's Associations</t>
  </si>
  <si>
    <t>Credit Dept. of Fishermen's Associations</t>
  </si>
  <si>
    <t>Bills Finance Companies</t>
  </si>
  <si>
    <t>Securities Finance Companies</t>
  </si>
  <si>
    <t>Domestic Life
Insurance Companies</t>
  </si>
  <si>
    <t>Domestic Property &amp; Casualty Insurance Companies</t>
  </si>
  <si>
    <t>Foreign Life Insurance Companies</t>
  </si>
  <si>
    <t>Foreign Property &amp; Casualty Insurance Companies</t>
  </si>
  <si>
    <t>Reinsurance Companies</t>
  </si>
  <si>
    <r>
      <t>表</t>
    </r>
    <r>
      <rPr>
        <sz val="12"/>
        <rFont val="Arial"/>
        <family val="2"/>
      </rPr>
      <t>6-2</t>
    </r>
    <r>
      <rPr>
        <sz val="12"/>
        <rFont val="華康粗圓體"/>
        <family val="3"/>
      </rPr>
      <t>、金融機構分佈</t>
    </r>
  </si>
  <si>
    <r>
      <t>6-2</t>
    </r>
    <r>
      <rPr>
        <sz val="12"/>
        <rFont val="華康粗圓體"/>
        <family val="3"/>
      </rPr>
      <t>、</t>
    </r>
    <r>
      <rPr>
        <sz val="12"/>
        <rFont val="Arial"/>
        <family val="2"/>
      </rPr>
      <t>Distribution of Principal Banks</t>
    </r>
  </si>
  <si>
    <t>資料來源：中央銀行</t>
  </si>
  <si>
    <t>Source: Central Bank</t>
  </si>
  <si>
    <t>Notes: 1. Every head office and branch counts as one. All other branches do not count.</t>
  </si>
  <si>
    <t xml:space="preserve">                respective financial institutions.</t>
  </si>
  <si>
    <t>單位：家</t>
  </si>
  <si>
    <t>Unit : Number</t>
  </si>
  <si>
    <t>金融財稅</t>
  </si>
  <si>
    <r>
      <t>說明：</t>
    </r>
    <r>
      <rPr>
        <sz val="8.5"/>
        <rFont val="Arial Narrow"/>
        <family val="2"/>
      </rPr>
      <t>1.</t>
    </r>
    <r>
      <rPr>
        <sz val="8.5"/>
        <rFont val="華康中黑體"/>
        <family val="3"/>
      </rPr>
      <t>總機構算一單位，分行</t>
    </r>
    <r>
      <rPr>
        <sz val="8.5"/>
        <rFont val="Arial Narrow"/>
        <family val="2"/>
      </rPr>
      <t>(</t>
    </r>
    <r>
      <rPr>
        <sz val="8.5"/>
        <rFont val="華康中黑體"/>
        <family val="3"/>
      </rPr>
      <t>局、庫、社、部、公司</t>
    </r>
    <r>
      <rPr>
        <sz val="8.5"/>
        <rFont val="Arial Narrow"/>
        <family val="2"/>
      </rPr>
      <t>)</t>
    </r>
    <r>
      <rPr>
        <sz val="8.5"/>
        <rFont val="華康中黑體"/>
        <family val="3"/>
      </rPr>
      <t>等分支機構算一單位，其餘分支單位不納入統計。</t>
    </r>
  </si>
  <si>
    <r>
      <t>　　　</t>
    </r>
    <r>
      <rPr>
        <sz val="8.5"/>
        <rFont val="Arial Narrow"/>
        <family val="2"/>
      </rPr>
      <t>7.89</t>
    </r>
    <r>
      <rPr>
        <sz val="8.5"/>
        <rFont val="華康中黑體"/>
        <family val="3"/>
      </rPr>
      <t>年為</t>
    </r>
    <r>
      <rPr>
        <sz val="8.5"/>
        <rFont val="Arial Narrow"/>
        <family val="2"/>
      </rPr>
      <t>90</t>
    </r>
    <r>
      <rPr>
        <sz val="8.5"/>
        <rFont val="華康中黑體"/>
        <family val="3"/>
      </rPr>
      <t>年</t>
    </r>
    <r>
      <rPr>
        <sz val="8.5"/>
        <rFont val="Arial Narrow"/>
        <family val="2"/>
      </rPr>
      <t>4</t>
    </r>
    <r>
      <rPr>
        <sz val="8.5"/>
        <rFont val="華康中黑體"/>
        <family val="3"/>
      </rPr>
      <t>月底資料。</t>
    </r>
  </si>
  <si>
    <r>
      <t>　　　</t>
    </r>
    <r>
      <rPr>
        <sz val="8.5"/>
        <rFont val="Arial Narrow"/>
        <family val="2"/>
      </rPr>
      <t>2.</t>
    </r>
    <r>
      <rPr>
        <sz val="8.5"/>
        <rFont val="華康中黑體"/>
        <family val="3"/>
      </rPr>
      <t>中央銀行、中央存款保險公司及信用卡公司不納入統計。</t>
    </r>
  </si>
  <si>
    <r>
      <t>　　　</t>
    </r>
    <r>
      <rPr>
        <sz val="8.5"/>
        <rFont val="Arial Narrow"/>
        <family val="2"/>
      </rPr>
      <t>3.</t>
    </r>
    <r>
      <rPr>
        <sz val="8.5"/>
        <rFont val="華康中黑體"/>
        <family val="3"/>
      </rPr>
      <t>本國銀行及本國人壽保險公司部分不包括郵匯局之分支單位。</t>
    </r>
  </si>
  <si>
    <r>
      <t>　　　</t>
    </r>
    <r>
      <rPr>
        <sz val="8.5"/>
        <rFont val="Arial Narrow"/>
        <family val="2"/>
      </rPr>
      <t>4.</t>
    </r>
    <r>
      <rPr>
        <sz val="8.5"/>
        <rFont val="華康中黑體"/>
        <family val="3"/>
      </rPr>
      <t>產物保險合作社納入本國產物保險公司計算。</t>
    </r>
  </si>
  <si>
    <r>
      <t>　　　</t>
    </r>
    <r>
      <rPr>
        <sz val="8.5"/>
        <rFont val="Arial Narrow"/>
        <family val="2"/>
      </rPr>
      <t xml:space="preserve"> 5.</t>
    </r>
    <r>
      <rPr>
        <sz val="8.5"/>
        <rFont val="華康中黑體"/>
        <family val="3"/>
      </rPr>
      <t>外國銀行、外國人壽保險公司、外國產物保險公司及外國銀行駐台代表人辦事處之總機構不納入統計。</t>
    </r>
  </si>
  <si>
    <r>
      <t>　　　</t>
    </r>
    <r>
      <rPr>
        <sz val="8.5"/>
        <rFont val="Arial Narrow"/>
        <family val="2"/>
      </rPr>
      <t>6.</t>
    </r>
    <r>
      <rPr>
        <sz val="8.5"/>
        <rFont val="華康中黑體"/>
        <family val="3"/>
      </rPr>
      <t>金融控股公司之子公司及其分支機構，如係金融機構，納入各該金融機構統計。</t>
    </r>
  </si>
  <si>
    <r>
      <t>　　</t>
    </r>
    <r>
      <rPr>
        <sz val="8.5"/>
        <rFont val="Arial Narrow"/>
        <family val="2"/>
      </rPr>
      <t xml:space="preserve">  2. Central Bank, Central Deposit Insurance Corporation and credit card companies do not count.</t>
    </r>
  </si>
  <si>
    <r>
      <t>　　</t>
    </r>
    <r>
      <rPr>
        <sz val="8.5"/>
        <rFont val="Arial Narrow"/>
        <family val="2"/>
      </rPr>
      <t xml:space="preserve">  3. Domestic banks and insurance companies excluding branches of the Mail Remittance Bureau.</t>
    </r>
  </si>
  <si>
    <r>
      <t>　　</t>
    </r>
    <r>
      <rPr>
        <sz val="8.5"/>
        <rFont val="Arial Narrow"/>
        <family val="2"/>
      </rPr>
      <t xml:space="preserve">  4. Property insurance credit unions count as domestic property insurance companies.</t>
    </r>
  </si>
  <si>
    <r>
      <t>　　</t>
    </r>
    <r>
      <rPr>
        <sz val="8.5"/>
        <rFont val="Arial Narrow"/>
        <family val="2"/>
      </rPr>
      <t xml:space="preserve">  5. Foreign banks, life insurance companies, property insurance companies and the head offices of foreign banks' Taiwan</t>
    </r>
  </si>
  <si>
    <r>
      <t>　　</t>
    </r>
    <r>
      <rPr>
        <sz val="8.5"/>
        <rFont val="Arial Narrow"/>
        <family val="2"/>
      </rPr>
      <t xml:space="preserve">  6. If the subsidiaries and affiliated companies of financial holding companies are financial institutions, they are included in their</t>
    </r>
  </si>
  <si>
    <r>
      <t>　　</t>
    </r>
    <r>
      <rPr>
        <sz val="8.5"/>
        <rFont val="Arial Narrow"/>
        <family val="2"/>
      </rPr>
      <t xml:space="preserve">  7. The 2000 data include the first four months of 2001.</t>
    </r>
  </si>
  <si>
    <t xml:space="preserve">                representatives' offices do not count.</t>
  </si>
  <si>
    <t>年　底　別　及
鄉 鎮 市 區 別</t>
  </si>
  <si>
    <r>
      <t>民國</t>
    </r>
    <r>
      <rPr>
        <sz val="9"/>
        <rFont val="Arial Narrow"/>
        <family val="2"/>
      </rPr>
      <t>87</t>
    </r>
    <r>
      <rPr>
        <sz val="9"/>
        <rFont val="華康粗圓體"/>
        <family val="3"/>
      </rPr>
      <t>年底</t>
    </r>
    <r>
      <rPr>
        <sz val="9"/>
        <rFont val="Arial Narrow"/>
        <family val="2"/>
      </rPr>
      <t xml:space="preserve"> End of 1998</t>
    </r>
  </si>
  <si>
    <r>
      <t>民國</t>
    </r>
    <r>
      <rPr>
        <sz val="9"/>
        <rFont val="Arial Narrow"/>
        <family val="2"/>
      </rPr>
      <t>88</t>
    </r>
    <r>
      <rPr>
        <sz val="9"/>
        <rFont val="華康粗圓體"/>
        <family val="3"/>
      </rPr>
      <t>年底</t>
    </r>
    <r>
      <rPr>
        <sz val="9"/>
        <rFont val="Arial Narrow"/>
        <family val="2"/>
      </rPr>
      <t xml:space="preserve"> End of 1999</t>
    </r>
  </si>
  <si>
    <r>
      <t>民國</t>
    </r>
    <r>
      <rPr>
        <sz val="9"/>
        <rFont val="Arial Narrow"/>
        <family val="2"/>
      </rPr>
      <t>89</t>
    </r>
    <r>
      <rPr>
        <sz val="9"/>
        <rFont val="華康粗圓體"/>
        <family val="3"/>
      </rPr>
      <t>年底</t>
    </r>
    <r>
      <rPr>
        <sz val="9"/>
        <rFont val="Arial Narrow"/>
        <family val="2"/>
      </rPr>
      <t xml:space="preserve"> End of 2000</t>
    </r>
  </si>
  <si>
    <r>
      <t>民國</t>
    </r>
    <r>
      <rPr>
        <sz val="9"/>
        <rFont val="Arial Narrow"/>
        <family val="2"/>
      </rPr>
      <t>90</t>
    </r>
    <r>
      <rPr>
        <sz val="9"/>
        <rFont val="華康粗圓體"/>
        <family val="3"/>
      </rPr>
      <t>年底</t>
    </r>
    <r>
      <rPr>
        <sz val="9"/>
        <rFont val="Arial Narrow"/>
        <family val="2"/>
      </rPr>
      <t xml:space="preserve"> End of 2001</t>
    </r>
  </si>
  <si>
    <r>
      <t>民國</t>
    </r>
    <r>
      <rPr>
        <sz val="9"/>
        <rFont val="Arial Narrow"/>
        <family val="2"/>
      </rPr>
      <t>91</t>
    </r>
    <r>
      <rPr>
        <sz val="9"/>
        <rFont val="華康粗圓體"/>
        <family val="3"/>
      </rPr>
      <t>年底</t>
    </r>
    <r>
      <rPr>
        <sz val="9"/>
        <rFont val="Arial Narrow"/>
        <family val="2"/>
      </rPr>
      <t xml:space="preserve"> End of 2002</t>
    </r>
  </si>
  <si>
    <r>
      <t>民國</t>
    </r>
    <r>
      <rPr>
        <sz val="9"/>
        <rFont val="Arial Narrow"/>
        <family val="2"/>
      </rPr>
      <t>92</t>
    </r>
    <r>
      <rPr>
        <sz val="9"/>
        <rFont val="華康粗圓體"/>
        <family val="3"/>
      </rPr>
      <t>年底</t>
    </r>
    <r>
      <rPr>
        <sz val="9"/>
        <rFont val="Arial Narrow"/>
        <family val="2"/>
      </rPr>
      <t xml:space="preserve"> End of 2003</t>
    </r>
  </si>
  <si>
    <r>
      <t>民國</t>
    </r>
    <r>
      <rPr>
        <sz val="9"/>
        <rFont val="Arial Narrow"/>
        <family val="2"/>
      </rPr>
      <t>93</t>
    </r>
    <r>
      <rPr>
        <sz val="9"/>
        <rFont val="華康粗圓體"/>
        <family val="3"/>
      </rPr>
      <t>年底</t>
    </r>
    <r>
      <rPr>
        <sz val="9"/>
        <rFont val="Arial Narrow"/>
        <family val="2"/>
      </rPr>
      <t xml:space="preserve"> End of 2004</t>
    </r>
  </si>
  <si>
    <r>
      <t>民國</t>
    </r>
    <r>
      <rPr>
        <sz val="9"/>
        <rFont val="Arial Narrow"/>
        <family val="2"/>
      </rPr>
      <t>94</t>
    </r>
    <r>
      <rPr>
        <sz val="9"/>
        <rFont val="華康粗圓體"/>
        <family val="3"/>
      </rPr>
      <t>年底</t>
    </r>
    <r>
      <rPr>
        <sz val="9"/>
        <rFont val="Arial Narrow"/>
        <family val="2"/>
      </rPr>
      <t xml:space="preserve"> End of 2005</t>
    </r>
  </si>
  <si>
    <r>
      <t>民國</t>
    </r>
    <r>
      <rPr>
        <sz val="9"/>
        <rFont val="Arial Narrow"/>
        <family val="2"/>
      </rPr>
      <t>95</t>
    </r>
    <r>
      <rPr>
        <sz val="9"/>
        <rFont val="華康粗圓體"/>
        <family val="3"/>
      </rPr>
      <t>年底</t>
    </r>
    <r>
      <rPr>
        <sz val="9"/>
        <rFont val="Arial Narrow"/>
        <family val="2"/>
      </rPr>
      <t xml:space="preserve"> End of 2006</t>
    </r>
  </si>
  <si>
    <r>
      <t>民國</t>
    </r>
    <r>
      <rPr>
        <sz val="9"/>
        <rFont val="Arial Narrow"/>
        <family val="2"/>
      </rPr>
      <t>96</t>
    </r>
    <r>
      <rPr>
        <sz val="9"/>
        <rFont val="華康粗圓體"/>
        <family val="3"/>
      </rPr>
      <t>年底</t>
    </r>
    <r>
      <rPr>
        <sz val="9"/>
        <rFont val="Arial Narrow"/>
        <family val="2"/>
      </rPr>
      <t xml:space="preserve"> End of 2007</t>
    </r>
  </si>
  <si>
    <r>
      <t>桃園市</t>
    </r>
    <r>
      <rPr>
        <sz val="9"/>
        <rFont val="Arial Narrow"/>
        <family val="2"/>
      </rPr>
      <t xml:space="preserve"> Taoyuan City</t>
    </r>
  </si>
  <si>
    <r>
      <t>中壢市</t>
    </r>
    <r>
      <rPr>
        <sz val="9"/>
        <rFont val="Arial Narrow"/>
        <family val="2"/>
      </rPr>
      <t xml:space="preserve"> Jhongli City</t>
    </r>
  </si>
  <si>
    <r>
      <t>平鎮市</t>
    </r>
    <r>
      <rPr>
        <sz val="9"/>
        <rFont val="Arial Narrow"/>
        <family val="2"/>
      </rPr>
      <t xml:space="preserve"> Pingjhen City</t>
    </r>
  </si>
  <si>
    <r>
      <t>八德市</t>
    </r>
    <r>
      <rPr>
        <sz val="9"/>
        <rFont val="Arial Narrow"/>
        <family val="2"/>
      </rPr>
      <t xml:space="preserve"> Bade City</t>
    </r>
  </si>
  <si>
    <r>
      <t>大溪鎮</t>
    </r>
    <r>
      <rPr>
        <sz val="9"/>
        <rFont val="Arial Narrow"/>
        <family val="2"/>
      </rPr>
      <t xml:space="preserve"> Dasi Township</t>
    </r>
  </si>
  <si>
    <r>
      <t>楊梅鎮</t>
    </r>
    <r>
      <rPr>
        <sz val="9"/>
        <rFont val="Arial Narrow"/>
        <family val="2"/>
      </rPr>
      <t xml:space="preserve"> Yangmei Towhship</t>
    </r>
  </si>
  <si>
    <r>
      <t>蘆竹鄉</t>
    </r>
    <r>
      <rPr>
        <sz val="9"/>
        <rFont val="Arial Narrow"/>
        <family val="2"/>
      </rPr>
      <t xml:space="preserve"> Lujhu Township</t>
    </r>
  </si>
  <si>
    <r>
      <t>大園鄉</t>
    </r>
    <r>
      <rPr>
        <sz val="9"/>
        <rFont val="Arial Narrow"/>
        <family val="2"/>
      </rPr>
      <t xml:space="preserve"> Dayuan Township</t>
    </r>
  </si>
  <si>
    <r>
      <t>龜山鄉</t>
    </r>
    <r>
      <rPr>
        <sz val="9"/>
        <rFont val="Arial Narrow"/>
        <family val="2"/>
      </rPr>
      <t xml:space="preserve"> Gueishan Township</t>
    </r>
  </si>
  <si>
    <r>
      <t>龍潭鄉</t>
    </r>
    <r>
      <rPr>
        <sz val="9"/>
        <rFont val="Arial Narrow"/>
        <family val="2"/>
      </rPr>
      <t xml:space="preserve"> Longtan Township</t>
    </r>
  </si>
  <si>
    <r>
      <t>新屋鄉</t>
    </r>
    <r>
      <rPr>
        <sz val="9"/>
        <rFont val="Arial Narrow"/>
        <family val="2"/>
      </rPr>
      <t xml:space="preserve"> Sinwu Township</t>
    </r>
  </si>
  <si>
    <r>
      <t>觀音鄉</t>
    </r>
    <r>
      <rPr>
        <sz val="9"/>
        <rFont val="Arial Narrow"/>
        <family val="2"/>
      </rPr>
      <t xml:space="preserve"> Guanyin Township</t>
    </r>
  </si>
  <si>
    <r>
      <t>復興鄉</t>
    </r>
    <r>
      <rPr>
        <sz val="9"/>
        <rFont val="Arial Narrow"/>
        <family val="2"/>
      </rPr>
      <t xml:space="preserve"> Fusing Township</t>
    </r>
  </si>
  <si>
    <r>
      <t xml:space="preserve">    88</t>
    </r>
    <r>
      <rPr>
        <sz val="8"/>
        <rFont val="華康粗圓體"/>
        <family val="3"/>
      </rPr>
      <t>年度</t>
    </r>
  </si>
  <si>
    <r>
      <t>88</t>
    </r>
    <r>
      <rPr>
        <sz val="8"/>
        <rFont val="華康粗圓體"/>
        <family val="3"/>
      </rPr>
      <t>年下半年及</t>
    </r>
    <r>
      <rPr>
        <sz val="8"/>
        <rFont val="Arial Narrow"/>
        <family val="2"/>
      </rPr>
      <t>89</t>
    </r>
    <r>
      <rPr>
        <sz val="8"/>
        <rFont val="華康粗圓體"/>
        <family val="3"/>
      </rPr>
      <t xml:space="preserve">年度
</t>
    </r>
    <r>
      <rPr>
        <sz val="7"/>
        <rFont val="Arial Narrow"/>
        <family val="2"/>
      </rPr>
      <t>07/01/1999~12/31/2000</t>
    </r>
  </si>
  <si>
    <r>
      <t xml:space="preserve">    90</t>
    </r>
    <r>
      <rPr>
        <sz val="8"/>
        <rFont val="華康粗圓體"/>
        <family val="3"/>
      </rPr>
      <t>年度</t>
    </r>
  </si>
  <si>
    <r>
      <t xml:space="preserve">    91</t>
    </r>
    <r>
      <rPr>
        <sz val="8"/>
        <rFont val="華康粗圓體"/>
        <family val="3"/>
      </rPr>
      <t>年度</t>
    </r>
  </si>
  <si>
    <r>
      <t xml:space="preserve">    92</t>
    </r>
    <r>
      <rPr>
        <sz val="8"/>
        <rFont val="華康粗圓體"/>
        <family val="3"/>
      </rPr>
      <t>年度</t>
    </r>
  </si>
  <si>
    <r>
      <t xml:space="preserve">    93</t>
    </r>
    <r>
      <rPr>
        <sz val="8"/>
        <rFont val="華康粗圓體"/>
        <family val="3"/>
      </rPr>
      <t>年度</t>
    </r>
  </si>
  <si>
    <r>
      <t xml:space="preserve">    94</t>
    </r>
    <r>
      <rPr>
        <sz val="8"/>
        <rFont val="華康粗圓體"/>
        <family val="3"/>
      </rPr>
      <t>年度</t>
    </r>
  </si>
  <si>
    <r>
      <t xml:space="preserve">    95</t>
    </r>
    <r>
      <rPr>
        <sz val="8"/>
        <rFont val="華康粗圓體"/>
        <family val="3"/>
      </rPr>
      <t>年度</t>
    </r>
  </si>
  <si>
    <r>
      <t xml:space="preserve">    96</t>
    </r>
    <r>
      <rPr>
        <sz val="8"/>
        <rFont val="華康粗圓體"/>
        <family val="3"/>
      </rPr>
      <t>年度</t>
    </r>
  </si>
  <si>
    <r>
      <t xml:space="preserve">    97</t>
    </r>
    <r>
      <rPr>
        <sz val="8"/>
        <rFont val="華康粗圓體"/>
        <family val="3"/>
      </rPr>
      <t>年度</t>
    </r>
  </si>
  <si>
    <r>
      <t>表</t>
    </r>
    <r>
      <rPr>
        <sz val="12"/>
        <rFont val="Arial"/>
        <family val="2"/>
      </rPr>
      <t>6-3</t>
    </r>
    <r>
      <rPr>
        <sz val="12"/>
        <rFont val="華康粗圓體"/>
        <family val="3"/>
      </rPr>
      <t>、歲入預決算－按來源別分</t>
    </r>
  </si>
  <si>
    <r>
      <t>6-3</t>
    </r>
    <r>
      <rPr>
        <sz val="12"/>
        <rFont val="華康粗圓體"/>
        <family val="3"/>
      </rPr>
      <t>、</t>
    </r>
    <r>
      <rPr>
        <sz val="12"/>
        <rFont val="Arial"/>
        <family val="2"/>
      </rPr>
      <t>Budget and Settled Account of Revenues  by Respires</t>
    </r>
  </si>
  <si>
    <t>資料來源：桃園縣總預算、桃園縣總預算追加減預算案。</t>
  </si>
  <si>
    <t>Grand Total</t>
  </si>
  <si>
    <t>Receipts from Taxes</t>
  </si>
  <si>
    <t>Receipts from Charges on Benefits of Public Construction</t>
  </si>
  <si>
    <t>Receipts from Fines and Indemnity</t>
  </si>
  <si>
    <t>Receipts from Fees</t>
  </si>
  <si>
    <t>Revenue of Pollution Prevention Fees</t>
  </si>
  <si>
    <t>Receipts from Property</t>
  </si>
  <si>
    <t>Profits of Public Business &amp; Enterprises</t>
  </si>
  <si>
    <t>Subsidies</t>
  </si>
  <si>
    <t>Receipts from Donations and Gifts</t>
  </si>
  <si>
    <t>Other Receipts</t>
  </si>
  <si>
    <r>
      <t xml:space="preserve">    </t>
    </r>
    <r>
      <rPr>
        <sz val="8"/>
        <rFont val="華康粗圓體"/>
        <family val="3"/>
      </rPr>
      <t>民國</t>
    </r>
    <r>
      <rPr>
        <sz val="8"/>
        <rFont val="Arial Narrow"/>
        <family val="2"/>
      </rPr>
      <t>87</t>
    </r>
    <r>
      <rPr>
        <sz val="8"/>
        <rFont val="華康粗圓體"/>
        <family val="3"/>
      </rPr>
      <t>年度</t>
    </r>
  </si>
  <si>
    <r>
      <t>原預算</t>
    </r>
    <r>
      <rPr>
        <sz val="7.5"/>
        <rFont val="Arial Narrow"/>
        <family val="2"/>
      </rPr>
      <t xml:space="preserve"> Original Budgets</t>
    </r>
  </si>
  <si>
    <t>－</t>
  </si>
  <si>
    <t>年度別</t>
  </si>
  <si>
    <t>總　　計</t>
  </si>
  <si>
    <t>稅課收入</t>
  </si>
  <si>
    <t>工程受益費
收　　　入</t>
  </si>
  <si>
    <r>
      <t>罰</t>
    </r>
    <r>
      <rPr>
        <sz val="8"/>
        <rFont val="Arial Narrow"/>
        <family val="2"/>
      </rPr>
      <t xml:space="preserve">  </t>
    </r>
    <r>
      <rPr>
        <sz val="8"/>
        <rFont val="華康粗圓體"/>
        <family val="3"/>
      </rPr>
      <t>款</t>
    </r>
    <r>
      <rPr>
        <sz val="8"/>
        <rFont val="Arial Narrow"/>
        <family val="2"/>
      </rPr>
      <t xml:space="preserve">  </t>
    </r>
    <r>
      <rPr>
        <sz val="8"/>
        <rFont val="華康粗圓體"/>
        <family val="3"/>
      </rPr>
      <t>及
賠償收入</t>
    </r>
  </si>
  <si>
    <t>規費收入</t>
  </si>
  <si>
    <t>污染防制費
收　　　入</t>
  </si>
  <si>
    <t>財產收入</t>
  </si>
  <si>
    <r>
      <t>營業盈餘及
事</t>
    </r>
    <r>
      <rPr>
        <sz val="8"/>
        <rFont val="Arial Narrow"/>
        <family val="2"/>
      </rPr>
      <t xml:space="preserve"> </t>
    </r>
    <r>
      <rPr>
        <sz val="8"/>
        <rFont val="華康粗圓體"/>
        <family val="3"/>
      </rPr>
      <t>業</t>
    </r>
    <r>
      <rPr>
        <sz val="8"/>
        <rFont val="Arial Narrow"/>
        <family val="2"/>
      </rPr>
      <t xml:space="preserve"> </t>
    </r>
    <r>
      <rPr>
        <sz val="8"/>
        <rFont val="華康粗圓體"/>
        <family val="3"/>
      </rPr>
      <t>收</t>
    </r>
    <r>
      <rPr>
        <sz val="8"/>
        <rFont val="Arial Narrow"/>
        <family val="2"/>
      </rPr>
      <t xml:space="preserve"> </t>
    </r>
    <r>
      <rPr>
        <sz val="8"/>
        <rFont val="華康粗圓體"/>
        <family val="3"/>
      </rPr>
      <t>入</t>
    </r>
  </si>
  <si>
    <r>
      <t>補</t>
    </r>
    <r>
      <rPr>
        <sz val="8"/>
        <rFont val="Arial Narrow"/>
        <family val="2"/>
      </rPr>
      <t xml:space="preserve">  </t>
    </r>
    <r>
      <rPr>
        <sz val="8"/>
        <rFont val="華康粗圓體"/>
        <family val="3"/>
      </rPr>
      <t>助</t>
    </r>
    <r>
      <rPr>
        <sz val="8"/>
        <rFont val="Arial Narrow"/>
        <family val="2"/>
      </rPr>
      <t xml:space="preserve">  </t>
    </r>
    <r>
      <rPr>
        <sz val="8"/>
        <rFont val="華康粗圓體"/>
        <family val="3"/>
      </rPr>
      <t>及
協助收入</t>
    </r>
  </si>
  <si>
    <r>
      <t>捐</t>
    </r>
    <r>
      <rPr>
        <sz val="8"/>
        <rFont val="Arial Narrow"/>
        <family val="2"/>
      </rPr>
      <t xml:space="preserve">  </t>
    </r>
    <r>
      <rPr>
        <sz val="8"/>
        <rFont val="華康粗圓體"/>
        <family val="3"/>
      </rPr>
      <t>獻</t>
    </r>
    <r>
      <rPr>
        <sz val="8"/>
        <rFont val="Arial Narrow"/>
        <family val="2"/>
      </rPr>
      <t xml:space="preserve">  </t>
    </r>
    <r>
      <rPr>
        <sz val="8"/>
        <rFont val="華康粗圓體"/>
        <family val="3"/>
      </rPr>
      <t>及
贈與收入</t>
    </r>
  </si>
  <si>
    <t>其他收入</t>
  </si>
  <si>
    <t>年　度　別</t>
  </si>
  <si>
    <t>總　　計</t>
  </si>
  <si>
    <t>稅課收入</t>
  </si>
  <si>
    <t>工程受益費
收　　　入</t>
  </si>
  <si>
    <r>
      <t>罰</t>
    </r>
    <r>
      <rPr>
        <sz val="9"/>
        <rFont val="Arial Narrow"/>
        <family val="2"/>
      </rPr>
      <t xml:space="preserve">  </t>
    </r>
    <r>
      <rPr>
        <sz val="9"/>
        <rFont val="華康粗圓體"/>
        <family val="3"/>
      </rPr>
      <t>款</t>
    </r>
    <r>
      <rPr>
        <sz val="9"/>
        <rFont val="Arial Narrow"/>
        <family val="2"/>
      </rPr>
      <t xml:space="preserve">  </t>
    </r>
    <r>
      <rPr>
        <sz val="9"/>
        <rFont val="華康粗圓體"/>
        <family val="3"/>
      </rPr>
      <t>及
賠償收入</t>
    </r>
  </si>
  <si>
    <t>規費收入</t>
  </si>
  <si>
    <t>污染防制費
收　　　入</t>
  </si>
  <si>
    <t>財產收入</t>
  </si>
  <si>
    <r>
      <t>營業盈餘及
事</t>
    </r>
    <r>
      <rPr>
        <sz val="9"/>
        <rFont val="Arial Narrow"/>
        <family val="2"/>
      </rPr>
      <t xml:space="preserve"> </t>
    </r>
    <r>
      <rPr>
        <sz val="9"/>
        <rFont val="華康粗圓體"/>
        <family val="3"/>
      </rPr>
      <t>業</t>
    </r>
    <r>
      <rPr>
        <sz val="9"/>
        <rFont val="Arial Narrow"/>
        <family val="2"/>
      </rPr>
      <t xml:space="preserve"> </t>
    </r>
    <r>
      <rPr>
        <sz val="9"/>
        <rFont val="華康粗圓體"/>
        <family val="3"/>
      </rPr>
      <t>收</t>
    </r>
    <r>
      <rPr>
        <sz val="9"/>
        <rFont val="Arial Narrow"/>
        <family val="2"/>
      </rPr>
      <t xml:space="preserve"> </t>
    </r>
    <r>
      <rPr>
        <sz val="9"/>
        <rFont val="華康粗圓體"/>
        <family val="3"/>
      </rPr>
      <t>入</t>
    </r>
  </si>
  <si>
    <r>
      <t>補</t>
    </r>
    <r>
      <rPr>
        <sz val="9"/>
        <rFont val="Arial Narrow"/>
        <family val="2"/>
      </rPr>
      <t xml:space="preserve">  </t>
    </r>
    <r>
      <rPr>
        <sz val="9"/>
        <rFont val="華康粗圓體"/>
        <family val="3"/>
      </rPr>
      <t>助</t>
    </r>
    <r>
      <rPr>
        <sz val="9"/>
        <rFont val="Arial Narrow"/>
        <family val="2"/>
      </rPr>
      <t xml:space="preserve">  </t>
    </r>
    <r>
      <rPr>
        <sz val="9"/>
        <rFont val="華康粗圓體"/>
        <family val="3"/>
      </rPr>
      <t>及
協助收入</t>
    </r>
  </si>
  <si>
    <r>
      <t>捐</t>
    </r>
    <r>
      <rPr>
        <sz val="9"/>
        <rFont val="Arial Narrow"/>
        <family val="2"/>
      </rPr>
      <t xml:space="preserve">  </t>
    </r>
    <r>
      <rPr>
        <sz val="9"/>
        <rFont val="華康粗圓體"/>
        <family val="3"/>
      </rPr>
      <t>獻</t>
    </r>
    <r>
      <rPr>
        <sz val="9"/>
        <rFont val="Arial Narrow"/>
        <family val="2"/>
      </rPr>
      <t xml:space="preserve">  </t>
    </r>
    <r>
      <rPr>
        <sz val="9"/>
        <rFont val="華康粗圓體"/>
        <family val="3"/>
      </rPr>
      <t>及
贈與收入</t>
    </r>
  </si>
  <si>
    <t>其他收入</t>
  </si>
  <si>
    <r>
      <t xml:space="preserve">    </t>
    </r>
    <r>
      <rPr>
        <sz val="9"/>
        <rFont val="華康粗圓體"/>
        <family val="3"/>
      </rPr>
      <t>民國</t>
    </r>
    <r>
      <rPr>
        <sz val="9"/>
        <rFont val="Arial Narrow"/>
        <family val="2"/>
      </rPr>
      <t>87</t>
    </r>
    <r>
      <rPr>
        <sz val="9"/>
        <rFont val="華康粗圓體"/>
        <family val="3"/>
      </rPr>
      <t xml:space="preserve">年度
</t>
    </r>
    <r>
      <rPr>
        <sz val="9"/>
        <rFont val="Arial Narrow"/>
        <family val="2"/>
      </rPr>
      <t>1998</t>
    </r>
  </si>
  <si>
    <r>
      <t xml:space="preserve">    88</t>
    </r>
    <r>
      <rPr>
        <sz val="9"/>
        <rFont val="華康粗圓體"/>
        <family val="3"/>
      </rPr>
      <t xml:space="preserve">年度
</t>
    </r>
    <r>
      <rPr>
        <sz val="9"/>
        <rFont val="Arial Narrow"/>
        <family val="2"/>
      </rPr>
      <t>1999</t>
    </r>
  </si>
  <si>
    <t>－</t>
  </si>
  <si>
    <r>
      <t xml:space="preserve">  88</t>
    </r>
    <r>
      <rPr>
        <sz val="9"/>
        <rFont val="華康粗圓體"/>
        <family val="3"/>
      </rPr>
      <t xml:space="preserve">年下半年及
</t>
    </r>
    <r>
      <rPr>
        <sz val="9"/>
        <rFont val="Arial Narrow"/>
        <family val="2"/>
      </rPr>
      <t>89</t>
    </r>
    <r>
      <rPr>
        <sz val="9"/>
        <rFont val="華康粗圓體"/>
        <family val="3"/>
      </rPr>
      <t xml:space="preserve">年度
</t>
    </r>
    <r>
      <rPr>
        <sz val="9"/>
        <rFont val="Arial Narrow"/>
        <family val="2"/>
      </rPr>
      <t>07/01/1999~12/31/2000</t>
    </r>
  </si>
  <si>
    <r>
      <t xml:space="preserve">   90</t>
    </r>
    <r>
      <rPr>
        <sz val="9"/>
        <rFont val="華康粗圓體"/>
        <family val="3"/>
      </rPr>
      <t xml:space="preserve">年度
</t>
    </r>
    <r>
      <rPr>
        <sz val="9"/>
        <rFont val="Arial Narrow"/>
        <family val="2"/>
      </rPr>
      <t>2001</t>
    </r>
  </si>
  <si>
    <r>
      <t xml:space="preserve">    91</t>
    </r>
    <r>
      <rPr>
        <sz val="9"/>
        <rFont val="華康粗圓體"/>
        <family val="3"/>
      </rPr>
      <t xml:space="preserve">年度
</t>
    </r>
    <r>
      <rPr>
        <sz val="9"/>
        <rFont val="Arial Narrow"/>
        <family val="2"/>
      </rPr>
      <t>2002</t>
    </r>
  </si>
  <si>
    <r>
      <t xml:space="preserve">    92</t>
    </r>
    <r>
      <rPr>
        <sz val="9"/>
        <rFont val="華康粗圓體"/>
        <family val="3"/>
      </rPr>
      <t xml:space="preserve">年度
</t>
    </r>
    <r>
      <rPr>
        <sz val="9"/>
        <rFont val="Arial Narrow"/>
        <family val="2"/>
      </rPr>
      <t>2003</t>
    </r>
  </si>
  <si>
    <r>
      <t xml:space="preserve">    93</t>
    </r>
    <r>
      <rPr>
        <sz val="9"/>
        <rFont val="華康粗圓體"/>
        <family val="3"/>
      </rPr>
      <t xml:space="preserve">年度
</t>
    </r>
    <r>
      <rPr>
        <sz val="9"/>
        <rFont val="Arial Narrow"/>
        <family val="2"/>
      </rPr>
      <t>2004</t>
    </r>
  </si>
  <si>
    <r>
      <t xml:space="preserve">    94</t>
    </r>
    <r>
      <rPr>
        <sz val="9"/>
        <rFont val="華康粗圓體"/>
        <family val="3"/>
      </rPr>
      <t xml:space="preserve">年度
</t>
    </r>
    <r>
      <rPr>
        <sz val="9"/>
        <rFont val="Arial Narrow"/>
        <family val="2"/>
      </rPr>
      <t>2005</t>
    </r>
  </si>
  <si>
    <r>
      <t xml:space="preserve">    95</t>
    </r>
    <r>
      <rPr>
        <sz val="9"/>
        <rFont val="華康粗圓體"/>
        <family val="3"/>
      </rPr>
      <t xml:space="preserve">年度
</t>
    </r>
    <r>
      <rPr>
        <sz val="9"/>
        <rFont val="Arial Narrow"/>
        <family val="2"/>
      </rPr>
      <t>2006</t>
    </r>
  </si>
  <si>
    <r>
      <t xml:space="preserve">    96</t>
    </r>
    <r>
      <rPr>
        <sz val="9"/>
        <rFont val="華康粗圓體"/>
        <family val="3"/>
      </rPr>
      <t xml:space="preserve">年度
</t>
    </r>
    <r>
      <rPr>
        <sz val="9"/>
        <rFont val="Arial Narrow"/>
        <family val="2"/>
      </rPr>
      <t>2007</t>
    </r>
  </si>
  <si>
    <t>金融財稅</t>
  </si>
  <si>
    <t>Banking, Finance and Taxation</t>
  </si>
  <si>
    <r>
      <t>資料來源：桃園縣總決算審核報告</t>
    </r>
    <r>
      <rPr>
        <sz val="9"/>
        <rFont val="Arial Narrow"/>
        <family val="2"/>
      </rPr>
      <t>(96</t>
    </r>
    <r>
      <rPr>
        <sz val="9"/>
        <rFont val="華康中黑體"/>
        <family val="3"/>
      </rPr>
      <t>年為桃園縣決算書</t>
    </r>
    <r>
      <rPr>
        <sz val="9"/>
        <rFont val="Arial Narrow"/>
        <family val="2"/>
      </rPr>
      <t>)</t>
    </r>
    <r>
      <rPr>
        <sz val="9"/>
        <rFont val="華康中黑體"/>
        <family val="3"/>
      </rPr>
      <t>。</t>
    </r>
  </si>
  <si>
    <t>Source: Review Report of Taoyuan County's Final Accounts (2007 shows Taoyuan County's Final Account Report)</t>
  </si>
  <si>
    <t>說明：總計與細目不合係因四捨五入誤差所致。</t>
  </si>
  <si>
    <t>Note:All items do not add up to grand total because of rounding error.</t>
  </si>
  <si>
    <r>
      <t xml:space="preserve">    88</t>
    </r>
    <r>
      <rPr>
        <sz val="8.5"/>
        <rFont val="華康粗圓體"/>
        <family val="3"/>
      </rPr>
      <t>年度</t>
    </r>
  </si>
  <si>
    <r>
      <t>88</t>
    </r>
    <r>
      <rPr>
        <sz val="8.5"/>
        <rFont val="華康粗圓體"/>
        <family val="3"/>
      </rPr>
      <t>年下半年
及</t>
    </r>
    <r>
      <rPr>
        <sz val="8.5"/>
        <rFont val="Arial Narrow"/>
        <family val="2"/>
      </rPr>
      <t>89</t>
    </r>
    <r>
      <rPr>
        <sz val="8.5"/>
        <rFont val="華康粗圓體"/>
        <family val="3"/>
      </rPr>
      <t xml:space="preserve">年度
</t>
    </r>
    <r>
      <rPr>
        <sz val="7"/>
        <rFont val="Arial Narrow"/>
        <family val="2"/>
      </rPr>
      <t>07/01/1999~12/31/2000</t>
    </r>
  </si>
  <si>
    <r>
      <t xml:space="preserve">    90</t>
    </r>
    <r>
      <rPr>
        <sz val="8.5"/>
        <rFont val="華康粗圓體"/>
        <family val="3"/>
      </rPr>
      <t>年度</t>
    </r>
  </si>
  <si>
    <r>
      <t xml:space="preserve">    91</t>
    </r>
    <r>
      <rPr>
        <sz val="8.5"/>
        <rFont val="華康粗圓體"/>
        <family val="3"/>
      </rPr>
      <t>年度</t>
    </r>
  </si>
  <si>
    <r>
      <t xml:space="preserve">    92</t>
    </r>
    <r>
      <rPr>
        <sz val="8.5"/>
        <rFont val="華康粗圓體"/>
        <family val="3"/>
      </rPr>
      <t>年度</t>
    </r>
  </si>
  <si>
    <r>
      <t xml:space="preserve">    93</t>
    </r>
    <r>
      <rPr>
        <sz val="8.5"/>
        <rFont val="華康粗圓體"/>
        <family val="3"/>
      </rPr>
      <t>年度</t>
    </r>
  </si>
  <si>
    <r>
      <t xml:space="preserve">    94</t>
    </r>
    <r>
      <rPr>
        <sz val="8.5"/>
        <rFont val="華康粗圓體"/>
        <family val="3"/>
      </rPr>
      <t>年度</t>
    </r>
  </si>
  <si>
    <r>
      <t>原預算</t>
    </r>
    <r>
      <rPr>
        <sz val="7.5"/>
        <rFont val="Arial Narrow"/>
        <family val="2"/>
      </rPr>
      <t xml:space="preserve"> Original Budgets</t>
    </r>
  </si>
  <si>
    <r>
      <t xml:space="preserve">    95</t>
    </r>
    <r>
      <rPr>
        <sz val="8.5"/>
        <rFont val="華康粗圓體"/>
        <family val="3"/>
      </rPr>
      <t>年度</t>
    </r>
  </si>
  <si>
    <r>
      <t xml:space="preserve">    96</t>
    </r>
    <r>
      <rPr>
        <sz val="8.5"/>
        <rFont val="華康粗圓體"/>
        <family val="3"/>
      </rPr>
      <t>年度</t>
    </r>
  </si>
  <si>
    <r>
      <t xml:space="preserve">    97</t>
    </r>
    <r>
      <rPr>
        <sz val="8.5"/>
        <rFont val="華康粗圓體"/>
        <family val="3"/>
      </rPr>
      <t>年度</t>
    </r>
  </si>
  <si>
    <t>資料來源：桃園縣總預算、桃園縣總預算追加減預算案。</t>
  </si>
  <si>
    <t>Source:Taoyuan County general budget and reapportionments.</t>
  </si>
  <si>
    <t>政權行使
支　　出</t>
  </si>
  <si>
    <t>行政支出</t>
  </si>
  <si>
    <t>民政支出</t>
  </si>
  <si>
    <t>財務支出</t>
  </si>
  <si>
    <t>教育支出</t>
  </si>
  <si>
    <t>科學支出</t>
  </si>
  <si>
    <t>文化支出</t>
  </si>
  <si>
    <t>農業支出</t>
  </si>
  <si>
    <t>工業支出</t>
  </si>
  <si>
    <t>交通支出</t>
  </si>
  <si>
    <t>其他經濟
服務支出</t>
  </si>
  <si>
    <t>社會保險
支　　出</t>
  </si>
  <si>
    <t>社會救助
支　　出</t>
  </si>
  <si>
    <t>Expenditure for Political Function</t>
  </si>
  <si>
    <t>Administrative Expenditure</t>
  </si>
  <si>
    <t>Civil Affairs Expenditure</t>
  </si>
  <si>
    <t>Financial Expenditure</t>
  </si>
  <si>
    <t>Expenditure for Education</t>
  </si>
  <si>
    <t>Science Expenditure</t>
  </si>
  <si>
    <t>Expenditure for Culture</t>
  </si>
  <si>
    <t>Expenditure for Agriculture</t>
  </si>
  <si>
    <t>Expenditure for Industry</t>
  </si>
  <si>
    <t>Expenditure for Communication</t>
  </si>
  <si>
    <t>Other Economic Service</t>
  </si>
  <si>
    <t>Expenditure
for Social Insurance</t>
  </si>
  <si>
    <t>Expenditure for
Social Relief</t>
  </si>
  <si>
    <r>
      <t xml:space="preserve">    </t>
    </r>
    <r>
      <rPr>
        <sz val="8.5"/>
        <rFont val="華康粗圓體"/>
        <family val="3"/>
      </rPr>
      <t>民國</t>
    </r>
    <r>
      <rPr>
        <sz val="8.5"/>
        <rFont val="Arial Narrow"/>
        <family val="2"/>
      </rPr>
      <t>87</t>
    </r>
    <r>
      <rPr>
        <sz val="8.5"/>
        <rFont val="華康粗圓體"/>
        <family val="3"/>
      </rPr>
      <t>年度</t>
    </r>
  </si>
  <si>
    <r>
      <t>6-4</t>
    </r>
    <r>
      <rPr>
        <sz val="12"/>
        <rFont val="華康粗圓體"/>
        <family val="3"/>
      </rPr>
      <t>、</t>
    </r>
    <r>
      <rPr>
        <sz val="12"/>
        <rFont val="Arial"/>
        <family val="2"/>
      </rPr>
      <t>Budget and Settled Account of Expenditures by Administrative Affairs</t>
    </r>
  </si>
  <si>
    <t>Expenditure
for Police Service</t>
  </si>
  <si>
    <t>Expend-iture for Assistance</t>
  </si>
  <si>
    <t>Expenditure for Transfers of Special Characters</t>
  </si>
  <si>
    <t>Expenditure for Transfers of General characters</t>
  </si>
  <si>
    <r>
      <t>88</t>
    </r>
    <r>
      <rPr>
        <sz val="8.5"/>
        <rFont val="華康粗圓體"/>
        <family val="3"/>
      </rPr>
      <t>年下半年
及</t>
    </r>
    <r>
      <rPr>
        <sz val="8.5"/>
        <rFont val="Arial Narrow"/>
        <family val="2"/>
      </rPr>
      <t>89</t>
    </r>
    <r>
      <rPr>
        <sz val="8.5"/>
        <rFont val="華康粗圓體"/>
        <family val="3"/>
      </rPr>
      <t xml:space="preserve">年度
</t>
    </r>
    <r>
      <rPr>
        <sz val="7"/>
        <rFont val="Arial Narrow"/>
        <family val="2"/>
      </rPr>
      <t>07/01/1999~12/31/2000</t>
    </r>
  </si>
  <si>
    <r>
      <t xml:space="preserve">    90</t>
    </r>
    <r>
      <rPr>
        <sz val="9"/>
        <rFont val="華康粗圓體"/>
        <family val="3"/>
      </rPr>
      <t xml:space="preserve">年度
</t>
    </r>
    <r>
      <rPr>
        <sz val="9"/>
        <rFont val="Arial Narrow"/>
        <family val="2"/>
      </rPr>
      <t>2001</t>
    </r>
  </si>
  <si>
    <r>
      <t xml:space="preserve">    95</t>
    </r>
    <r>
      <rPr>
        <sz val="9"/>
        <rFont val="華康粗圓體"/>
        <family val="3"/>
      </rPr>
      <t xml:space="preserve">年度
</t>
    </r>
    <r>
      <rPr>
        <sz val="9"/>
        <rFont val="Arial Narrow"/>
        <family val="2"/>
      </rPr>
      <t>2006</t>
    </r>
  </si>
  <si>
    <t>Source:Review Report of Taoyuan County's Final Accounts (2007 shows Taoyuan County's Final Account Report)</t>
  </si>
  <si>
    <r>
      <t xml:space="preserve">    </t>
    </r>
    <r>
      <rPr>
        <sz val="9"/>
        <rFont val="華康粗圓體"/>
        <family val="3"/>
      </rPr>
      <t>民國</t>
    </r>
    <r>
      <rPr>
        <sz val="9"/>
        <rFont val="Arial Narrow"/>
        <family val="2"/>
      </rPr>
      <t>87</t>
    </r>
    <r>
      <rPr>
        <sz val="9"/>
        <rFont val="華康粗圓體"/>
        <family val="3"/>
      </rPr>
      <t xml:space="preserve">年度
</t>
    </r>
    <r>
      <rPr>
        <sz val="9"/>
        <rFont val="Arial Narrow"/>
        <family val="2"/>
      </rPr>
      <t>1998</t>
    </r>
  </si>
  <si>
    <r>
      <t xml:space="preserve">  88</t>
    </r>
    <r>
      <rPr>
        <sz val="9"/>
        <rFont val="華康粗圓體"/>
        <family val="3"/>
      </rPr>
      <t xml:space="preserve">年下半年及
</t>
    </r>
    <r>
      <rPr>
        <sz val="9"/>
        <rFont val="Arial Narrow"/>
        <family val="2"/>
      </rPr>
      <t>89</t>
    </r>
    <r>
      <rPr>
        <sz val="9"/>
        <rFont val="華康粗圓體"/>
        <family val="3"/>
      </rPr>
      <t xml:space="preserve">年度
</t>
    </r>
    <r>
      <rPr>
        <sz val="9"/>
        <rFont val="Arial Narrow"/>
        <family val="2"/>
      </rPr>
      <t>07/01/1999~12/31/2000</t>
    </r>
  </si>
  <si>
    <r>
      <t>表</t>
    </r>
    <r>
      <rPr>
        <sz val="12"/>
        <rFont val="Arial"/>
        <family val="2"/>
      </rPr>
      <t>6-4</t>
    </r>
    <r>
      <rPr>
        <sz val="12"/>
        <rFont val="華康粗圓體"/>
        <family val="3"/>
      </rPr>
      <t>、歲出預決算－按政事別分</t>
    </r>
    <r>
      <rPr>
        <sz val="12"/>
        <rFont val="Arial"/>
        <family val="2"/>
      </rPr>
      <t>(</t>
    </r>
    <r>
      <rPr>
        <sz val="12"/>
        <rFont val="華康粗圓體"/>
        <family val="3"/>
      </rPr>
      <t>續二</t>
    </r>
    <r>
      <rPr>
        <sz val="12"/>
        <rFont val="Arial"/>
        <family val="2"/>
      </rPr>
      <t>)</t>
    </r>
  </si>
  <si>
    <r>
      <t>6-4</t>
    </r>
    <r>
      <rPr>
        <sz val="12"/>
        <rFont val="華康粗圓體"/>
        <family val="3"/>
      </rPr>
      <t>、</t>
    </r>
    <r>
      <rPr>
        <sz val="12"/>
        <rFont val="Arial"/>
        <family val="2"/>
      </rPr>
      <t>Budget and Settled Account of Expenditures by Administrative Affairs(Cont.2)</t>
    </r>
  </si>
  <si>
    <t>－</t>
  </si>
  <si>
    <t>總　計</t>
  </si>
  <si>
    <t>年　　度　　別</t>
  </si>
  <si>
    <t>信託管理
收　　入</t>
  </si>
  <si>
    <t>Expenditure
for Environmental Protection</t>
  </si>
  <si>
    <r>
      <t>資料來源：桃園縣各鄉鎮</t>
    </r>
    <r>
      <rPr>
        <sz val="9"/>
        <rFont val="Arial Narrow"/>
        <family val="2"/>
      </rPr>
      <t>(</t>
    </r>
    <r>
      <rPr>
        <sz val="9"/>
        <rFont val="超研澤中黑"/>
        <family val="3"/>
      </rPr>
      <t>市</t>
    </r>
    <r>
      <rPr>
        <sz val="9"/>
        <rFont val="Arial Narrow"/>
        <family val="2"/>
      </rPr>
      <t>)</t>
    </r>
    <r>
      <rPr>
        <sz val="9"/>
        <rFont val="超研澤中黑"/>
        <family val="3"/>
      </rPr>
      <t>總決算彙編。</t>
    </r>
  </si>
  <si>
    <t>Increase/Decrease Percentage</t>
  </si>
  <si>
    <t>單位：新臺幣千元</t>
  </si>
  <si>
    <t>Unit:NT$1,000</t>
  </si>
  <si>
    <t>年度別</t>
  </si>
  <si>
    <t>Fiscal Year</t>
  </si>
  <si>
    <t>Grand Total</t>
  </si>
  <si>
    <t>Receipts from Taxes</t>
  </si>
  <si>
    <t>Receipts from Charges on Benefits of Public Construction</t>
  </si>
  <si>
    <t>Receipts from Fees</t>
  </si>
  <si>
    <t>Profits of Public Business &amp; Enterprises</t>
  </si>
  <si>
    <t>Receipts from Donations and Gifts</t>
  </si>
  <si>
    <t>Receipts from Charges on Benefits of Public Construction</t>
  </si>
  <si>
    <r>
      <t>表</t>
    </r>
    <r>
      <rPr>
        <sz val="12"/>
        <rFont val="Arial"/>
        <family val="2"/>
      </rPr>
      <t>6-3</t>
    </r>
    <r>
      <rPr>
        <sz val="12"/>
        <rFont val="華康粗圓體"/>
        <family val="3"/>
      </rPr>
      <t>、歲入預決算－按來源別分</t>
    </r>
    <r>
      <rPr>
        <sz val="12"/>
        <rFont val="Arial"/>
        <family val="2"/>
      </rPr>
      <t>(</t>
    </r>
    <r>
      <rPr>
        <sz val="12"/>
        <rFont val="華康粗圓體"/>
        <family val="3"/>
      </rPr>
      <t>續完</t>
    </r>
    <r>
      <rPr>
        <sz val="12"/>
        <rFont val="Arial"/>
        <family val="2"/>
      </rPr>
      <t>)</t>
    </r>
  </si>
  <si>
    <r>
      <t>6-3</t>
    </r>
    <r>
      <rPr>
        <sz val="12"/>
        <rFont val="華康粗圓體"/>
        <family val="3"/>
      </rPr>
      <t>、</t>
    </r>
    <r>
      <rPr>
        <sz val="12"/>
        <rFont val="Arial"/>
        <family val="2"/>
      </rPr>
      <t>Budget and Settled Account of Revenues by Respires (Cont. End)</t>
    </r>
  </si>
  <si>
    <t>政權行使
支　　出</t>
  </si>
  <si>
    <t>行政支出</t>
  </si>
  <si>
    <t>民政支出</t>
  </si>
  <si>
    <t>財務支出</t>
  </si>
  <si>
    <t>教育支出</t>
  </si>
  <si>
    <t>科學支出</t>
  </si>
  <si>
    <t>文化支出</t>
  </si>
  <si>
    <t>農業支出</t>
  </si>
  <si>
    <t>工業支出</t>
  </si>
  <si>
    <t>交通支出</t>
  </si>
  <si>
    <t>其他經濟
服務支出</t>
  </si>
  <si>
    <t>社會保險
支　　出</t>
  </si>
  <si>
    <t>社會救助
支　　出</t>
  </si>
  <si>
    <t>Expenditure for Political Function</t>
  </si>
  <si>
    <t>Administrative Expenditure</t>
  </si>
  <si>
    <t>Civil Affairs Expenditure</t>
  </si>
  <si>
    <t>Financial Expenditure</t>
  </si>
  <si>
    <t>Expenditure for Education</t>
  </si>
  <si>
    <t>Expenditure for Culture</t>
  </si>
  <si>
    <t>Expenditure for Agriculture</t>
  </si>
  <si>
    <t>Expenditure for Industry</t>
  </si>
  <si>
    <t>Expenditure for Communication</t>
  </si>
  <si>
    <t>Other Economic Service</t>
  </si>
  <si>
    <t>Expenditure for
Social Relief</t>
  </si>
  <si>
    <r>
      <t>表</t>
    </r>
    <r>
      <rPr>
        <sz val="12"/>
        <rFont val="Arial"/>
        <family val="2"/>
      </rPr>
      <t>6-4</t>
    </r>
    <r>
      <rPr>
        <sz val="12"/>
        <rFont val="華康粗圓體"/>
        <family val="3"/>
      </rPr>
      <t>、歲出預決算－按政事別分</t>
    </r>
  </si>
  <si>
    <t>　預　　算　</t>
  </si>
  <si>
    <t>Budget</t>
  </si>
  <si>
    <t>Expenditure for
Social Insurance</t>
  </si>
  <si>
    <t>Expenditure for Police Service</t>
  </si>
  <si>
    <t>福利服務
支　　出</t>
  </si>
  <si>
    <t>國民就業
支　　出</t>
  </si>
  <si>
    <t>醫療保健
支　　出</t>
  </si>
  <si>
    <t>社區發展
支　　出</t>
  </si>
  <si>
    <t>環境保護
支　　出</t>
  </si>
  <si>
    <t>退休撫卹
給付支出</t>
  </si>
  <si>
    <t>警政支出</t>
  </si>
  <si>
    <t>債務付息
支　　出</t>
  </si>
  <si>
    <t>協助支出</t>
  </si>
  <si>
    <t>專案補助
支　　出</t>
  </si>
  <si>
    <t>平衡預算
補助支出</t>
  </si>
  <si>
    <t>第　二
預備金</t>
  </si>
  <si>
    <t>其他支出</t>
  </si>
  <si>
    <t>Fiscal Year</t>
  </si>
  <si>
    <t>Expenditure for Beneficial Service</t>
  </si>
  <si>
    <t>Expenditure for Employment Service</t>
  </si>
  <si>
    <t>Expenditure for Public Health</t>
  </si>
  <si>
    <t>Community Development</t>
  </si>
  <si>
    <t>Expenditure on Retirement and Pension</t>
  </si>
  <si>
    <t xml:space="preserve">Expenditure for Interest Payment </t>
  </si>
  <si>
    <t>Second Reserve Fund</t>
  </si>
  <si>
    <t>Other Expenditure</t>
  </si>
  <si>
    <t>Banking, Finance and Taxation</t>
  </si>
  <si>
    <t>Receipts Fines and Indemnity</t>
  </si>
  <si>
    <t>Receipts from Trust Manage-ment</t>
  </si>
  <si>
    <t xml:space="preserve"> Receipts from Property</t>
  </si>
  <si>
    <t>Assistance and Donation</t>
  </si>
  <si>
    <t>Purchases on Credit</t>
  </si>
  <si>
    <t>Others</t>
  </si>
  <si>
    <t>Previous Year Revenues</t>
  </si>
  <si>
    <t>Extra-budget Revenues</t>
  </si>
  <si>
    <t>General Administration</t>
  </si>
  <si>
    <t>Education Science &amp; Culture</t>
  </si>
  <si>
    <t>Economic Development</t>
  </si>
  <si>
    <t xml:space="preserve"> Social Welfare</t>
  </si>
  <si>
    <t>Community Development &amp; Environmental Protection</t>
  </si>
  <si>
    <t>Expenditure for Retirement and Pension</t>
  </si>
  <si>
    <t>Trust Management Expenditure</t>
  </si>
  <si>
    <t>Obligation</t>
  </si>
  <si>
    <t>Assis-tance</t>
  </si>
  <si>
    <t>Government-Run Enterprises Fund Expenditure</t>
  </si>
  <si>
    <t>Treasury Remain-der</t>
  </si>
  <si>
    <t>Self-Governance Tax Revenue</t>
  </si>
  <si>
    <r>
      <t xml:space="preserve">財產孳息
收　　入
</t>
    </r>
    <r>
      <rPr>
        <sz val="8"/>
        <rFont val="Arial Narrow"/>
        <family val="2"/>
      </rPr>
      <t>Interest Property</t>
    </r>
  </si>
  <si>
    <r>
      <t xml:space="preserve">財產售價
收回收入
</t>
    </r>
    <r>
      <rPr>
        <sz val="8"/>
        <rFont val="Arial Narrow"/>
        <family val="2"/>
      </rPr>
      <t>Public Property</t>
    </r>
  </si>
  <si>
    <t>Fiscal Year</t>
  </si>
  <si>
    <t>Grand Total</t>
  </si>
  <si>
    <t>Taxes</t>
  </si>
  <si>
    <t>Special Assessment</t>
  </si>
  <si>
    <t>Fines and Indemnity</t>
  </si>
  <si>
    <t>Receipts from Fees</t>
  </si>
  <si>
    <t>Revenue of Pollution Prevention Fees</t>
  </si>
  <si>
    <t>Trust Account</t>
  </si>
  <si>
    <t>Public Property</t>
  </si>
  <si>
    <t>Surplus Public Enterprises</t>
  </si>
  <si>
    <t>Assistance and Donation</t>
  </si>
  <si>
    <t>Contribution and Donation</t>
  </si>
  <si>
    <t>Others</t>
  </si>
  <si>
    <t>Surplus Public
Enterprises</t>
  </si>
  <si>
    <t>Contribution and 
Donations</t>
  </si>
  <si>
    <t>Othes</t>
  </si>
  <si>
    <t>Source:Budget, Accounting &amp; Statistics office.</t>
  </si>
  <si>
    <r>
      <t>表</t>
    </r>
    <r>
      <rPr>
        <sz val="12"/>
        <rFont val="Arial"/>
        <family val="2"/>
      </rPr>
      <t>6-11</t>
    </r>
    <r>
      <rPr>
        <sz val="12"/>
        <rFont val="華康粗圓體"/>
        <family val="3"/>
      </rPr>
      <t>、各鄉鎮市歲出預決算－按政事別分</t>
    </r>
  </si>
  <si>
    <r>
      <t>6-11</t>
    </r>
    <r>
      <rPr>
        <sz val="12"/>
        <rFont val="華康粗圓體"/>
        <family val="3"/>
      </rPr>
      <t>、</t>
    </r>
    <r>
      <rPr>
        <sz val="12"/>
        <rFont val="Arial"/>
        <family val="2"/>
      </rPr>
      <t>Budget and Settled Account of Expenditures of Township Offices</t>
    </r>
  </si>
  <si>
    <t>增　　減
百分比％</t>
  </si>
  <si>
    <t>Original Budgets</t>
  </si>
  <si>
    <t>Reapportionments</t>
  </si>
  <si>
    <t>Budgets after Reapportionments</t>
  </si>
  <si>
    <t>Increase/Decrease</t>
  </si>
  <si>
    <t>Expenditures</t>
  </si>
  <si>
    <t>總　　計</t>
  </si>
  <si>
    <t>Grand Total</t>
  </si>
  <si>
    <t>Taxes</t>
  </si>
  <si>
    <t>Special Assessment</t>
  </si>
  <si>
    <t>Fines and Indemnity</t>
  </si>
  <si>
    <t>Receipts from Fees</t>
  </si>
  <si>
    <t>Trust Account</t>
  </si>
  <si>
    <t>Public Property</t>
  </si>
  <si>
    <t>Assistance and Donation</t>
  </si>
  <si>
    <t>單位：新臺幣千元</t>
  </si>
  <si>
    <t>Unit:NT$1,000</t>
  </si>
  <si>
    <t>年度別</t>
  </si>
  <si>
    <t>Receipts from Taxes</t>
  </si>
  <si>
    <t>Receipts from
Fines and Indemnity</t>
  </si>
  <si>
    <t>Revenue of Pollution Prevention Fees</t>
  </si>
  <si>
    <t>Receipts from
Property</t>
  </si>
  <si>
    <t>Profits of Public
Business &amp;
Enterprises</t>
  </si>
  <si>
    <t>Subsidies</t>
  </si>
  <si>
    <t>Receipts from
Donations and Gifts</t>
  </si>
  <si>
    <t>Other Receipts</t>
  </si>
  <si>
    <t>金融財稅</t>
  </si>
  <si>
    <r>
      <t>表</t>
    </r>
    <r>
      <rPr>
        <sz val="12"/>
        <rFont val="Arial"/>
        <family val="2"/>
      </rPr>
      <t>6-6</t>
    </r>
    <r>
      <rPr>
        <sz val="12"/>
        <rFont val="華康粗圓體"/>
        <family val="3"/>
      </rPr>
      <t>、各項稅捐實徵數</t>
    </r>
  </si>
  <si>
    <t>　使用牌照稅</t>
  </si>
  <si>
    <t>　土地增值稅</t>
  </si>
  <si>
    <t>Current Year Expenditures</t>
  </si>
  <si>
    <t>Science Expenditure</t>
  </si>
  <si>
    <t>Source: Taoyuan County general budget and reapportionments.</t>
  </si>
  <si>
    <t>Budget</t>
  </si>
  <si>
    <t>　預　　算　</t>
  </si>
  <si>
    <t>－</t>
  </si>
  <si>
    <t>金融財稅</t>
  </si>
  <si>
    <t>Fiscal Year</t>
  </si>
  <si>
    <t>Revenues &amp; Expenditure</t>
  </si>
  <si>
    <t>Sinking Fund</t>
  </si>
  <si>
    <t>Borrowing</t>
  </si>
  <si>
    <t>Surplus Previous Year</t>
  </si>
  <si>
    <t>Form have finance %</t>
  </si>
  <si>
    <t>Taxes adhere degree</t>
  </si>
  <si>
    <t>Complement adhere degree</t>
  </si>
  <si>
    <t>Occupy Budgetary Expenditures</t>
  </si>
  <si>
    <t>Banking, Finance and Taxation</t>
  </si>
  <si>
    <t>Total</t>
  </si>
  <si>
    <t>－</t>
  </si>
  <si>
    <t>單位：億元</t>
  </si>
  <si>
    <r>
      <t>追加減後預算</t>
    </r>
    <r>
      <rPr>
        <sz val="7.5"/>
        <rFont val="Arial Narrow"/>
        <family val="2"/>
      </rPr>
      <t xml:space="preserve"> Budgets after Reapportionments</t>
    </r>
  </si>
  <si>
    <t>－</t>
  </si>
  <si>
    <t>總　　計</t>
  </si>
  <si>
    <t>稅課收入</t>
  </si>
  <si>
    <t>工程受益費
收　　　入</t>
  </si>
  <si>
    <t>規費收入</t>
  </si>
  <si>
    <t>污染防制費
收　　　入</t>
  </si>
  <si>
    <t>財產收入</t>
  </si>
  <si>
    <t>其他收入</t>
  </si>
  <si>
    <r>
      <t>原預算</t>
    </r>
    <r>
      <rPr>
        <sz val="7.5"/>
        <rFont val="Arial Narrow"/>
        <family val="2"/>
      </rPr>
      <t xml:space="preserve"> Original Budgets</t>
    </r>
  </si>
  <si>
    <t>單位：新臺幣千元</t>
  </si>
  <si>
    <t>Unit:NT$1,000</t>
  </si>
  <si>
    <t>金融財稅</t>
  </si>
  <si>
    <t>Banking, Finance and Taxation</t>
  </si>
  <si>
    <t>－</t>
  </si>
  <si>
    <r>
      <t>表</t>
    </r>
    <r>
      <rPr>
        <sz val="12"/>
        <rFont val="Arial"/>
        <family val="2"/>
      </rPr>
      <t>6-4</t>
    </r>
    <r>
      <rPr>
        <sz val="12"/>
        <rFont val="華康粗圓體"/>
        <family val="3"/>
      </rPr>
      <t>、歲出預決算－按政事別分</t>
    </r>
    <r>
      <rPr>
        <sz val="12"/>
        <rFont val="Arial"/>
        <family val="2"/>
      </rPr>
      <t>(</t>
    </r>
    <r>
      <rPr>
        <sz val="12"/>
        <rFont val="華康粗圓體"/>
        <family val="3"/>
      </rPr>
      <t>續一</t>
    </r>
    <r>
      <rPr>
        <sz val="12"/>
        <rFont val="Arial"/>
        <family val="2"/>
      </rPr>
      <t>)</t>
    </r>
  </si>
  <si>
    <r>
      <t>表</t>
    </r>
    <r>
      <rPr>
        <sz val="12"/>
        <rFont val="Arial"/>
        <family val="2"/>
      </rPr>
      <t>6-11</t>
    </r>
    <r>
      <rPr>
        <sz val="12"/>
        <rFont val="華康粗圓體"/>
        <family val="3"/>
      </rPr>
      <t>、各鄉鎮市歲出預決算－按政事別分</t>
    </r>
    <r>
      <rPr>
        <sz val="12"/>
        <rFont val="Arial"/>
        <family val="2"/>
      </rPr>
      <t>(</t>
    </r>
    <r>
      <rPr>
        <sz val="12"/>
        <rFont val="華康粗圓體"/>
        <family val="3"/>
      </rPr>
      <t>續二</t>
    </r>
    <r>
      <rPr>
        <sz val="12"/>
        <rFont val="Arial"/>
        <family val="2"/>
      </rPr>
      <t>)</t>
    </r>
  </si>
  <si>
    <t>Temporary Tax</t>
  </si>
  <si>
    <t>說明：總計與細目不合係因四捨五入誤差所致。</t>
  </si>
  <si>
    <t>Note:All items do not add up to grand total because of rounding error.</t>
  </si>
  <si>
    <t>Note:All items do not add up to grand total because of rounding error.</t>
  </si>
  <si>
    <t>說明：總計與細目不合係因四捨五入誤差所致。</t>
  </si>
  <si>
    <r>
      <t>　　</t>
    </r>
    <r>
      <rPr>
        <sz val="9"/>
        <rFont val="Arial Narrow"/>
        <family val="2"/>
      </rPr>
      <t xml:space="preserve">   3. Besides 2007, final accounts were approved before being finalized.</t>
    </r>
  </si>
  <si>
    <t>本國銀行</t>
  </si>
  <si>
    <t>外國銀行
在華分行</t>
  </si>
  <si>
    <t>信託投資
公　　司</t>
  </si>
  <si>
    <t>Domestic Banks</t>
  </si>
  <si>
    <t>Local Branches of Foreign Banks</t>
  </si>
  <si>
    <t>Investment and Trust Companies</t>
  </si>
  <si>
    <t>資料來源：中央銀行</t>
  </si>
  <si>
    <t>Source:Central Bank</t>
  </si>
  <si>
    <t>Banking, Finance and Taxation</t>
  </si>
  <si>
    <t>本國銀行</t>
  </si>
  <si>
    <t>外國銀行
在華分行</t>
  </si>
  <si>
    <t>信託投資
公　　司</t>
  </si>
  <si>
    <t>基層金融
機　　構</t>
  </si>
  <si>
    <t>郵匯局</t>
  </si>
  <si>
    <t>Domestic Banks</t>
  </si>
  <si>
    <t>Local Branches of Foreign Banks</t>
  </si>
  <si>
    <t>Investment and Trust Companies</t>
  </si>
  <si>
    <t>Local Financial
Institutions</t>
  </si>
  <si>
    <t>Postal Savings and Remittances Bureau</t>
  </si>
  <si>
    <r>
      <t>民國</t>
    </r>
    <r>
      <rPr>
        <sz val="8.5"/>
        <rFont val="Arial Narrow"/>
        <family val="2"/>
      </rPr>
      <t>87</t>
    </r>
    <r>
      <rPr>
        <sz val="8.5"/>
        <rFont val="華康粗圓體"/>
        <family val="3"/>
      </rPr>
      <t xml:space="preserve">年底
</t>
    </r>
    <r>
      <rPr>
        <sz val="8.5"/>
        <rFont val="Arial Narrow"/>
        <family val="2"/>
      </rPr>
      <t>End of 1998</t>
    </r>
  </si>
  <si>
    <r>
      <t>民國</t>
    </r>
    <r>
      <rPr>
        <sz val="8.5"/>
        <rFont val="Arial Narrow"/>
        <family val="2"/>
      </rPr>
      <t>88</t>
    </r>
    <r>
      <rPr>
        <sz val="8.5"/>
        <rFont val="華康粗圓體"/>
        <family val="3"/>
      </rPr>
      <t xml:space="preserve">年底
</t>
    </r>
    <r>
      <rPr>
        <sz val="8.5"/>
        <rFont val="Arial Narrow"/>
        <family val="2"/>
      </rPr>
      <t>End of 1999</t>
    </r>
  </si>
  <si>
    <r>
      <t>民國</t>
    </r>
    <r>
      <rPr>
        <sz val="8.5"/>
        <rFont val="Arial Narrow"/>
        <family val="2"/>
      </rPr>
      <t>89</t>
    </r>
    <r>
      <rPr>
        <sz val="8.5"/>
        <rFont val="華康粗圓體"/>
        <family val="3"/>
      </rPr>
      <t xml:space="preserve">年底
</t>
    </r>
    <r>
      <rPr>
        <sz val="8.5"/>
        <rFont val="Arial Narrow"/>
        <family val="2"/>
      </rPr>
      <t>End of 2000</t>
    </r>
  </si>
  <si>
    <r>
      <t>民國</t>
    </r>
    <r>
      <rPr>
        <sz val="8.5"/>
        <rFont val="Arial Narrow"/>
        <family val="2"/>
      </rPr>
      <t>90</t>
    </r>
    <r>
      <rPr>
        <sz val="8.5"/>
        <rFont val="華康粗圓體"/>
        <family val="3"/>
      </rPr>
      <t xml:space="preserve">年底
</t>
    </r>
    <r>
      <rPr>
        <sz val="8.5"/>
        <rFont val="Arial Narrow"/>
        <family val="2"/>
      </rPr>
      <t>End of 2001</t>
    </r>
  </si>
  <si>
    <r>
      <t>民國</t>
    </r>
    <r>
      <rPr>
        <sz val="8.5"/>
        <rFont val="Arial Narrow"/>
        <family val="2"/>
      </rPr>
      <t>91</t>
    </r>
    <r>
      <rPr>
        <sz val="8.5"/>
        <rFont val="華康粗圓體"/>
        <family val="3"/>
      </rPr>
      <t xml:space="preserve">年底
</t>
    </r>
    <r>
      <rPr>
        <sz val="8.5"/>
        <rFont val="Arial Narrow"/>
        <family val="2"/>
      </rPr>
      <t>End of 2002</t>
    </r>
  </si>
  <si>
    <r>
      <t>民國</t>
    </r>
    <r>
      <rPr>
        <sz val="8.5"/>
        <rFont val="Arial Narrow"/>
        <family val="2"/>
      </rPr>
      <t>92</t>
    </r>
    <r>
      <rPr>
        <sz val="8.5"/>
        <rFont val="華康粗圓體"/>
        <family val="3"/>
      </rPr>
      <t xml:space="preserve">年底
</t>
    </r>
    <r>
      <rPr>
        <sz val="8.5"/>
        <rFont val="Arial Narrow"/>
        <family val="2"/>
      </rPr>
      <t>End of 2003</t>
    </r>
  </si>
  <si>
    <r>
      <t>民國</t>
    </r>
    <r>
      <rPr>
        <sz val="8.5"/>
        <rFont val="Arial Narrow"/>
        <family val="2"/>
      </rPr>
      <t>93</t>
    </r>
    <r>
      <rPr>
        <sz val="8.5"/>
        <rFont val="華康粗圓體"/>
        <family val="3"/>
      </rPr>
      <t xml:space="preserve">年底
</t>
    </r>
    <r>
      <rPr>
        <sz val="8.5"/>
        <rFont val="Arial Narrow"/>
        <family val="2"/>
      </rPr>
      <t>End of 2004</t>
    </r>
  </si>
  <si>
    <r>
      <t>6</t>
    </r>
    <r>
      <rPr>
        <sz val="8.5"/>
        <rFont val="華康粗圓體"/>
        <family val="3"/>
      </rPr>
      <t xml:space="preserve">月底
</t>
    </r>
    <r>
      <rPr>
        <sz val="8.5"/>
        <rFont val="Arial Narrow"/>
        <family val="2"/>
      </rPr>
      <t>End of June</t>
    </r>
  </si>
  <si>
    <r>
      <t>12</t>
    </r>
    <r>
      <rPr>
        <sz val="8.5"/>
        <rFont val="華康粗圓體"/>
        <family val="3"/>
      </rPr>
      <t xml:space="preserve">月底
</t>
    </r>
    <r>
      <rPr>
        <sz val="8.5"/>
        <rFont val="Arial Narrow"/>
        <family val="2"/>
      </rPr>
      <t>End of December</t>
    </r>
  </si>
  <si>
    <r>
      <t>民國</t>
    </r>
    <r>
      <rPr>
        <sz val="8.5"/>
        <rFont val="Arial Narrow"/>
        <family val="2"/>
      </rPr>
      <t>94</t>
    </r>
    <r>
      <rPr>
        <sz val="8.5"/>
        <rFont val="華康粗圓體"/>
        <family val="3"/>
      </rPr>
      <t xml:space="preserve">年底
</t>
    </r>
    <r>
      <rPr>
        <sz val="8.5"/>
        <rFont val="Arial Narrow"/>
        <family val="2"/>
      </rPr>
      <t>End of 2005</t>
    </r>
  </si>
  <si>
    <r>
      <t>民國</t>
    </r>
    <r>
      <rPr>
        <sz val="8.5"/>
        <rFont val="Arial Narrow"/>
        <family val="2"/>
      </rPr>
      <t>95</t>
    </r>
    <r>
      <rPr>
        <sz val="8.5"/>
        <rFont val="華康粗圓體"/>
        <family val="3"/>
      </rPr>
      <t xml:space="preserve">年底
</t>
    </r>
    <r>
      <rPr>
        <sz val="8.5"/>
        <rFont val="Arial Narrow"/>
        <family val="2"/>
      </rPr>
      <t>End of 2006</t>
    </r>
  </si>
  <si>
    <r>
      <t>民國</t>
    </r>
    <r>
      <rPr>
        <sz val="8.5"/>
        <rFont val="Arial Narrow"/>
        <family val="2"/>
      </rPr>
      <t>96</t>
    </r>
    <r>
      <rPr>
        <sz val="8.5"/>
        <rFont val="華康粗圓體"/>
        <family val="3"/>
      </rPr>
      <t xml:space="preserve">年底
</t>
    </r>
    <r>
      <rPr>
        <sz val="8.5"/>
        <rFont val="Arial Narrow"/>
        <family val="2"/>
      </rPr>
      <t>End of 2007</t>
    </r>
  </si>
  <si>
    <r>
      <t>Unit : N.T.</t>
    </r>
    <r>
      <rPr>
        <sz val="8.5"/>
        <rFont val="華康中黑體"/>
        <family val="3"/>
      </rPr>
      <t>＄</t>
    </r>
    <r>
      <rPr>
        <sz val="8.5"/>
        <rFont val="Arial Narrow"/>
        <family val="2"/>
      </rPr>
      <t>100 000 000</t>
    </r>
  </si>
  <si>
    <r>
      <t xml:space="preserve">民　　　　國
年（月）底別
</t>
    </r>
    <r>
      <rPr>
        <sz val="8.5"/>
        <rFont val="Arial Narrow"/>
        <family val="2"/>
      </rPr>
      <t>End of Year (Month)</t>
    </r>
  </si>
  <si>
    <r>
      <t xml:space="preserve">存　　　款　　　餘　　　額
</t>
    </r>
    <r>
      <rPr>
        <sz val="8.5"/>
        <rFont val="Arial Narrow"/>
        <family val="2"/>
      </rPr>
      <t>Deposits</t>
    </r>
  </si>
  <si>
    <r>
      <t xml:space="preserve">放　　款　　餘　　額
</t>
    </r>
    <r>
      <rPr>
        <sz val="8.5"/>
        <rFont val="Arial Narrow"/>
        <family val="2"/>
      </rPr>
      <t>Loans</t>
    </r>
  </si>
  <si>
    <r>
      <t>表</t>
    </r>
    <r>
      <rPr>
        <sz val="12"/>
        <rFont val="Arial"/>
        <family val="2"/>
      </rPr>
      <t>6-1</t>
    </r>
    <r>
      <rPr>
        <sz val="12"/>
        <rFont val="華康粗圓體"/>
        <family val="3"/>
      </rPr>
      <t xml:space="preserve">、主要金融機構存、放款餘額
</t>
    </r>
    <r>
      <rPr>
        <sz val="12"/>
        <rFont val="Arial"/>
        <family val="2"/>
      </rPr>
      <t>6-1</t>
    </r>
    <r>
      <rPr>
        <sz val="12"/>
        <rFont val="華康粗圓體"/>
        <family val="3"/>
      </rPr>
      <t>、</t>
    </r>
    <r>
      <rPr>
        <sz val="12"/>
        <rFont val="Arial"/>
        <family val="2"/>
      </rPr>
      <t>Deposits and Loans of Principal Financial Institutions</t>
    </r>
  </si>
  <si>
    <r>
      <t>備註：</t>
    </r>
    <r>
      <rPr>
        <sz val="8.5"/>
        <rFont val="Arial Narrow"/>
        <family val="2"/>
      </rPr>
      <t>93</t>
    </r>
    <r>
      <rPr>
        <sz val="8.5"/>
        <rFont val="華康中黑體"/>
        <family val="3"/>
      </rPr>
      <t>年起基層金融機構不含農漁會資料。</t>
    </r>
  </si>
  <si>
    <t>－</t>
  </si>
  <si>
    <t>總計</t>
  </si>
  <si>
    <t>信　用
合作社</t>
  </si>
  <si>
    <t>農會信用部</t>
  </si>
  <si>
    <t>漁會信用部</t>
  </si>
  <si>
    <t>票券金融
公　　司</t>
  </si>
  <si>
    <t>證券金融
公　　司</t>
  </si>
  <si>
    <t>本國壽險
公　　司</t>
  </si>
  <si>
    <t>本國產險
公　　司</t>
  </si>
  <si>
    <t>外國壽險
公　　司</t>
  </si>
  <si>
    <t>外國產險
公　　司</t>
  </si>
  <si>
    <t>再保險公司</t>
  </si>
  <si>
    <t>End of Year &amp;
 Township/District</t>
  </si>
  <si>
    <t>Total</t>
  </si>
  <si>
    <t>Credit Cooper-atives</t>
  </si>
  <si>
    <r>
      <t xml:space="preserve">    88</t>
    </r>
    <r>
      <rPr>
        <sz val="9"/>
        <rFont val="華康粗圓體"/>
        <family val="3"/>
      </rPr>
      <t xml:space="preserve">年度
</t>
    </r>
    <r>
      <rPr>
        <sz val="9"/>
        <rFont val="Arial Narrow"/>
        <family val="2"/>
      </rPr>
      <t>1999</t>
    </r>
  </si>
  <si>
    <t>－</t>
  </si>
  <si>
    <r>
      <t xml:space="preserve">  88</t>
    </r>
    <r>
      <rPr>
        <sz val="9"/>
        <rFont val="華康粗圓體"/>
        <family val="3"/>
      </rPr>
      <t xml:space="preserve">年下半年及
</t>
    </r>
    <r>
      <rPr>
        <sz val="9"/>
        <rFont val="Arial Narrow"/>
        <family val="2"/>
      </rPr>
      <t>89</t>
    </r>
    <r>
      <rPr>
        <sz val="9"/>
        <rFont val="華康粗圓體"/>
        <family val="3"/>
      </rPr>
      <t xml:space="preserve">年度
</t>
    </r>
    <r>
      <rPr>
        <sz val="9"/>
        <rFont val="Arial Narrow"/>
        <family val="2"/>
      </rPr>
      <t>07/01/1999~12/31/2000</t>
    </r>
  </si>
  <si>
    <r>
      <t xml:space="preserve">    90</t>
    </r>
    <r>
      <rPr>
        <sz val="9"/>
        <rFont val="華康粗圓體"/>
        <family val="3"/>
      </rPr>
      <t xml:space="preserve">年度
</t>
    </r>
    <r>
      <rPr>
        <sz val="9"/>
        <rFont val="Arial Narrow"/>
        <family val="2"/>
      </rPr>
      <t>2001</t>
    </r>
  </si>
  <si>
    <r>
      <t xml:space="preserve">    91</t>
    </r>
    <r>
      <rPr>
        <sz val="9"/>
        <rFont val="華康粗圓體"/>
        <family val="3"/>
      </rPr>
      <t xml:space="preserve">年度
</t>
    </r>
    <r>
      <rPr>
        <sz val="9"/>
        <rFont val="Arial Narrow"/>
        <family val="2"/>
      </rPr>
      <t>2002</t>
    </r>
  </si>
  <si>
    <r>
      <t xml:space="preserve">    92</t>
    </r>
    <r>
      <rPr>
        <sz val="9"/>
        <rFont val="華康粗圓體"/>
        <family val="3"/>
      </rPr>
      <t xml:space="preserve">年度
</t>
    </r>
    <r>
      <rPr>
        <sz val="9"/>
        <rFont val="Arial Narrow"/>
        <family val="2"/>
      </rPr>
      <t>2003</t>
    </r>
  </si>
  <si>
    <r>
      <t xml:space="preserve">    93</t>
    </r>
    <r>
      <rPr>
        <sz val="9"/>
        <rFont val="華康粗圓體"/>
        <family val="3"/>
      </rPr>
      <t xml:space="preserve">年度
</t>
    </r>
    <r>
      <rPr>
        <sz val="9"/>
        <rFont val="Arial Narrow"/>
        <family val="2"/>
      </rPr>
      <t>2004</t>
    </r>
  </si>
  <si>
    <r>
      <t xml:space="preserve">    94</t>
    </r>
    <r>
      <rPr>
        <sz val="9"/>
        <rFont val="華康粗圓體"/>
        <family val="3"/>
      </rPr>
      <t xml:space="preserve">年度
</t>
    </r>
    <r>
      <rPr>
        <sz val="9"/>
        <rFont val="Arial Narrow"/>
        <family val="2"/>
      </rPr>
      <t>2005</t>
    </r>
  </si>
  <si>
    <r>
      <t xml:space="preserve">    96</t>
    </r>
    <r>
      <rPr>
        <sz val="9"/>
        <rFont val="華康粗圓體"/>
        <family val="3"/>
      </rPr>
      <t xml:space="preserve">年度
</t>
    </r>
    <r>
      <rPr>
        <sz val="9"/>
        <rFont val="Arial Narrow"/>
        <family val="2"/>
      </rPr>
      <t>2007</t>
    </r>
  </si>
  <si>
    <r>
      <t>表</t>
    </r>
    <r>
      <rPr>
        <sz val="12"/>
        <rFont val="Arial"/>
        <family val="2"/>
      </rPr>
      <t>6-4</t>
    </r>
    <r>
      <rPr>
        <sz val="12"/>
        <rFont val="華康粗圓體"/>
        <family val="3"/>
      </rPr>
      <t>、歲出預決算－按政事別分</t>
    </r>
    <r>
      <rPr>
        <sz val="12"/>
        <rFont val="Arial"/>
        <family val="2"/>
      </rPr>
      <t>(</t>
    </r>
    <r>
      <rPr>
        <sz val="12"/>
        <rFont val="華康粗圓體"/>
        <family val="3"/>
      </rPr>
      <t>續完</t>
    </r>
    <r>
      <rPr>
        <sz val="12"/>
        <rFont val="Arial"/>
        <family val="2"/>
      </rPr>
      <t>)</t>
    </r>
  </si>
  <si>
    <r>
      <t>6-4</t>
    </r>
    <r>
      <rPr>
        <sz val="12"/>
        <rFont val="華康粗圓體"/>
        <family val="3"/>
      </rPr>
      <t>、</t>
    </r>
    <r>
      <rPr>
        <sz val="12"/>
        <rFont val="Arial"/>
        <family val="2"/>
      </rPr>
      <t>Budget and Settled Account of Expenditures by Administrative Affairs (Cont.End)</t>
    </r>
  </si>
  <si>
    <t>單位：新臺幣千元</t>
  </si>
  <si>
    <t>Unit:NT$1,000</t>
  </si>
  <si>
    <t>年度別</t>
  </si>
  <si>
    <t>福利服務
支　　出</t>
  </si>
  <si>
    <t>國民就業
支　　出</t>
  </si>
  <si>
    <t>醫療保健
支　　出</t>
  </si>
  <si>
    <t>社區發展
支　　出</t>
  </si>
  <si>
    <t>環境保護
支　　出</t>
  </si>
  <si>
    <t>退休撫卹
給付支出</t>
  </si>
  <si>
    <t>警政支出</t>
  </si>
  <si>
    <t>債務付息
支　　出</t>
  </si>
  <si>
    <t>協助支出</t>
  </si>
  <si>
    <t>－</t>
  </si>
  <si>
    <t>年度別</t>
  </si>
  <si>
    <t>總　　計</t>
  </si>
  <si>
    <t>稅課收入</t>
  </si>
  <si>
    <t>工程受益費
收　　　入</t>
  </si>
  <si>
    <t>規費收入</t>
  </si>
  <si>
    <t>污染防制費
收　　　入</t>
  </si>
  <si>
    <t>信託管理
收　　入</t>
  </si>
  <si>
    <t>財產收入</t>
  </si>
  <si>
    <t>其他收入</t>
  </si>
  <si>
    <t>Fiscal Year</t>
  </si>
  <si>
    <t>Grand Total</t>
  </si>
  <si>
    <t xml:space="preserve">Settled </t>
  </si>
  <si>
    <r>
      <t>罰</t>
    </r>
    <r>
      <rPr>
        <sz val="9"/>
        <rFont val="Arial Narrow"/>
        <family val="2"/>
      </rPr>
      <t xml:space="preserve">  </t>
    </r>
    <r>
      <rPr>
        <sz val="9"/>
        <rFont val="華康粗圓體"/>
        <family val="3"/>
      </rPr>
      <t>款</t>
    </r>
    <r>
      <rPr>
        <sz val="9"/>
        <rFont val="Arial Narrow"/>
        <family val="2"/>
      </rPr>
      <t xml:space="preserve">  </t>
    </r>
    <r>
      <rPr>
        <sz val="9"/>
        <rFont val="華康粗圓體"/>
        <family val="3"/>
      </rPr>
      <t>及
賠償收入</t>
    </r>
  </si>
  <si>
    <r>
      <t>營業盈餘及
事</t>
    </r>
    <r>
      <rPr>
        <sz val="9"/>
        <rFont val="Arial Narrow"/>
        <family val="2"/>
      </rPr>
      <t xml:space="preserve"> </t>
    </r>
    <r>
      <rPr>
        <sz val="9"/>
        <rFont val="華康粗圓體"/>
        <family val="3"/>
      </rPr>
      <t>業</t>
    </r>
    <r>
      <rPr>
        <sz val="9"/>
        <rFont val="Arial Narrow"/>
        <family val="2"/>
      </rPr>
      <t xml:space="preserve"> </t>
    </r>
    <r>
      <rPr>
        <sz val="9"/>
        <rFont val="華康粗圓體"/>
        <family val="3"/>
      </rPr>
      <t>收</t>
    </r>
    <r>
      <rPr>
        <sz val="9"/>
        <rFont val="Arial Narrow"/>
        <family val="2"/>
      </rPr>
      <t xml:space="preserve"> </t>
    </r>
    <r>
      <rPr>
        <sz val="9"/>
        <rFont val="華康粗圓體"/>
        <family val="3"/>
      </rPr>
      <t>入</t>
    </r>
  </si>
  <si>
    <r>
      <t>補</t>
    </r>
    <r>
      <rPr>
        <sz val="9"/>
        <rFont val="Arial Narrow"/>
        <family val="2"/>
      </rPr>
      <t xml:space="preserve">  </t>
    </r>
    <r>
      <rPr>
        <sz val="9"/>
        <rFont val="華康粗圓體"/>
        <family val="3"/>
      </rPr>
      <t>助</t>
    </r>
    <r>
      <rPr>
        <sz val="9"/>
        <rFont val="Arial Narrow"/>
        <family val="2"/>
      </rPr>
      <t xml:space="preserve">  </t>
    </r>
    <r>
      <rPr>
        <sz val="9"/>
        <rFont val="華康粗圓體"/>
        <family val="3"/>
      </rPr>
      <t>及
協助收入</t>
    </r>
  </si>
  <si>
    <r>
      <t>捐</t>
    </r>
    <r>
      <rPr>
        <sz val="9"/>
        <rFont val="Arial Narrow"/>
        <family val="2"/>
      </rPr>
      <t xml:space="preserve">  </t>
    </r>
    <r>
      <rPr>
        <sz val="9"/>
        <rFont val="華康粗圓體"/>
        <family val="3"/>
      </rPr>
      <t>獻</t>
    </r>
    <r>
      <rPr>
        <sz val="9"/>
        <rFont val="Arial Narrow"/>
        <family val="2"/>
      </rPr>
      <t xml:space="preserve">  </t>
    </r>
    <r>
      <rPr>
        <sz val="9"/>
        <rFont val="華康粗圓體"/>
        <family val="3"/>
      </rPr>
      <t>及
贈與收入</t>
    </r>
  </si>
  <si>
    <r>
      <t xml:space="preserve">    88</t>
    </r>
    <r>
      <rPr>
        <sz val="9"/>
        <rFont val="華康粗圓體"/>
        <family val="3"/>
      </rPr>
      <t xml:space="preserve">年度
</t>
    </r>
    <r>
      <rPr>
        <sz val="9"/>
        <rFont val="Arial Narrow"/>
        <family val="2"/>
      </rPr>
      <t>1999</t>
    </r>
  </si>
  <si>
    <t>－</t>
  </si>
  <si>
    <r>
      <t xml:space="preserve">  88</t>
    </r>
    <r>
      <rPr>
        <sz val="9"/>
        <rFont val="華康粗圓體"/>
        <family val="3"/>
      </rPr>
      <t>年下半年
及</t>
    </r>
    <r>
      <rPr>
        <sz val="9"/>
        <rFont val="Arial Narrow"/>
        <family val="2"/>
      </rPr>
      <t>89</t>
    </r>
    <r>
      <rPr>
        <sz val="9"/>
        <rFont val="華康粗圓體"/>
        <family val="3"/>
      </rPr>
      <t xml:space="preserve">年度
</t>
    </r>
    <r>
      <rPr>
        <sz val="9"/>
        <rFont val="Arial Narrow"/>
        <family val="2"/>
      </rPr>
      <t>07/01/1999~12/31/2000</t>
    </r>
  </si>
  <si>
    <r>
      <t xml:space="preserve">    90</t>
    </r>
    <r>
      <rPr>
        <sz val="9"/>
        <rFont val="華康粗圓體"/>
        <family val="3"/>
      </rPr>
      <t xml:space="preserve">年度
</t>
    </r>
    <r>
      <rPr>
        <sz val="9"/>
        <rFont val="Arial Narrow"/>
        <family val="2"/>
      </rPr>
      <t>2001</t>
    </r>
  </si>
  <si>
    <r>
      <t xml:space="preserve">    91</t>
    </r>
    <r>
      <rPr>
        <sz val="9"/>
        <rFont val="華康粗圓體"/>
        <family val="3"/>
      </rPr>
      <t xml:space="preserve">年度
</t>
    </r>
    <r>
      <rPr>
        <sz val="9"/>
        <rFont val="Arial Narrow"/>
        <family val="2"/>
      </rPr>
      <t>2002</t>
    </r>
  </si>
  <si>
    <r>
      <t xml:space="preserve">    92</t>
    </r>
    <r>
      <rPr>
        <sz val="9"/>
        <rFont val="華康粗圓體"/>
        <family val="3"/>
      </rPr>
      <t xml:space="preserve">年度
</t>
    </r>
    <r>
      <rPr>
        <sz val="9"/>
        <rFont val="Arial Narrow"/>
        <family val="2"/>
      </rPr>
      <t>2003</t>
    </r>
  </si>
  <si>
    <r>
      <t xml:space="preserve">    93</t>
    </r>
    <r>
      <rPr>
        <sz val="9"/>
        <rFont val="華康粗圓體"/>
        <family val="3"/>
      </rPr>
      <t xml:space="preserve">年度
</t>
    </r>
    <r>
      <rPr>
        <sz val="9"/>
        <rFont val="Arial Narrow"/>
        <family val="2"/>
      </rPr>
      <t>2004</t>
    </r>
  </si>
  <si>
    <r>
      <t xml:space="preserve">    94</t>
    </r>
    <r>
      <rPr>
        <sz val="9"/>
        <rFont val="華康粗圓體"/>
        <family val="3"/>
      </rPr>
      <t xml:space="preserve">年度
</t>
    </r>
    <r>
      <rPr>
        <sz val="9"/>
        <rFont val="Arial Narrow"/>
        <family val="2"/>
      </rPr>
      <t>2005</t>
    </r>
  </si>
  <si>
    <r>
      <t xml:space="preserve">    95</t>
    </r>
    <r>
      <rPr>
        <sz val="9"/>
        <rFont val="華康粗圓體"/>
        <family val="3"/>
      </rPr>
      <t xml:space="preserve">年度
</t>
    </r>
    <r>
      <rPr>
        <sz val="9"/>
        <rFont val="Arial Narrow"/>
        <family val="2"/>
      </rPr>
      <t>2006</t>
    </r>
  </si>
  <si>
    <r>
      <t xml:space="preserve">    96</t>
    </r>
    <r>
      <rPr>
        <sz val="9"/>
        <rFont val="華康粗圓體"/>
        <family val="3"/>
      </rPr>
      <t xml:space="preserve">年度
</t>
    </r>
    <r>
      <rPr>
        <sz val="9"/>
        <rFont val="Arial Narrow"/>
        <family val="2"/>
      </rPr>
      <t>2007</t>
    </r>
  </si>
  <si>
    <r>
      <t>表</t>
    </r>
    <r>
      <rPr>
        <sz val="12"/>
        <rFont val="Arial"/>
        <family val="2"/>
      </rPr>
      <t>6-10</t>
    </r>
    <r>
      <rPr>
        <sz val="12"/>
        <rFont val="華康粗圓體"/>
        <family val="3"/>
      </rPr>
      <t>、各鄉鎮市歲入預決算－按來源別分</t>
    </r>
    <r>
      <rPr>
        <sz val="12"/>
        <rFont val="Arial"/>
        <family val="2"/>
      </rPr>
      <t>(</t>
    </r>
    <r>
      <rPr>
        <sz val="12"/>
        <rFont val="華康粗圓體"/>
        <family val="3"/>
      </rPr>
      <t>續</t>
    </r>
    <r>
      <rPr>
        <sz val="12"/>
        <rFont val="Arial"/>
        <family val="2"/>
      </rPr>
      <t>)</t>
    </r>
  </si>
  <si>
    <r>
      <t>6-10</t>
    </r>
    <r>
      <rPr>
        <sz val="12"/>
        <rFont val="華康粗圓體"/>
        <family val="3"/>
      </rPr>
      <t>、</t>
    </r>
    <r>
      <rPr>
        <sz val="12"/>
        <rFont val="Arial"/>
        <family val="2"/>
      </rPr>
      <t>Budget and Settled Account of Revenues of Township Offices(Cont.)</t>
    </r>
  </si>
  <si>
    <t>政權行使
支　　出</t>
  </si>
  <si>
    <t>行政支出</t>
  </si>
  <si>
    <t>民政支出</t>
  </si>
  <si>
    <t>財務支出</t>
  </si>
  <si>
    <t>教育支出</t>
  </si>
  <si>
    <t>科學支出</t>
  </si>
  <si>
    <t>文化支出</t>
  </si>
  <si>
    <t>農業支出</t>
  </si>
  <si>
    <t>工業支出</t>
  </si>
  <si>
    <t>交通支出</t>
  </si>
  <si>
    <t>其他經濟
服務支出</t>
  </si>
  <si>
    <t>社會保險
支　　出</t>
  </si>
  <si>
    <t>社會救助
支　　出</t>
  </si>
  <si>
    <t>Expenditure for Political Function</t>
  </si>
  <si>
    <t>Administrative Expenditure</t>
  </si>
  <si>
    <r>
      <t>6-4</t>
    </r>
    <r>
      <rPr>
        <sz val="12"/>
        <rFont val="華康粗圓體"/>
        <family val="3"/>
      </rPr>
      <t>、</t>
    </r>
    <r>
      <rPr>
        <sz val="12"/>
        <rFont val="Arial"/>
        <family val="2"/>
      </rPr>
      <t>Budget and Settled Account of Expenditures by Administrative Affairs(Cont.1)</t>
    </r>
  </si>
  <si>
    <r>
      <t>表</t>
    </r>
    <r>
      <rPr>
        <sz val="12"/>
        <rFont val="Arial"/>
        <family val="2"/>
      </rPr>
      <t xml:space="preserve"> 6-7</t>
    </r>
    <r>
      <rPr>
        <sz val="12"/>
        <rFont val="華康粗圓體"/>
        <family val="3"/>
      </rPr>
      <t>、</t>
    </r>
    <r>
      <rPr>
        <sz val="12"/>
        <rFont val="Arial"/>
        <family val="2"/>
      </rPr>
      <t xml:space="preserve"> </t>
    </r>
    <r>
      <rPr>
        <sz val="12"/>
        <rFont val="華康粗圓體"/>
        <family val="3"/>
      </rPr>
      <t>各項稅捐納庫數</t>
    </r>
  </si>
  <si>
    <r>
      <t>6-7</t>
    </r>
    <r>
      <rPr>
        <sz val="12"/>
        <rFont val="華康粗圓體"/>
        <family val="3"/>
      </rPr>
      <t>、</t>
    </r>
    <r>
      <rPr>
        <sz val="12"/>
        <rFont val="Arial"/>
        <family val="2"/>
      </rPr>
      <t xml:space="preserve"> Taxation Forwarded to Treasury</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</si>
</sst>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0_-;\-* #,##0.000_-;_-* &quot;-&quot;??_-;_-@_-"/>
    <numFmt numFmtId="177" formatCode="_-* #,##0.0000_-;\-* #,##0.0000_-;_-* &quot;-&quot;??_-;_-@_-"/>
    <numFmt numFmtId="178" formatCode="_-* #,##0.00000_-;\-* #,##0.00000_-;_-* &quot;-&quot;??_-;_-@_-"/>
    <numFmt numFmtId="179" formatCode="#,##0;[Red]#,##0"/>
    <numFmt numFmtId="180" formatCode="0.0"/>
    <numFmt numFmtId="181" formatCode="0_);[Red]\(0\)"/>
    <numFmt numFmtId="182" formatCode="0.0000;[Red]0.0000"/>
    <numFmt numFmtId="183" formatCode="#,##0.00;[Red]#,##0.00"/>
    <numFmt numFmtId="184" formatCode="#,##0_);\(#,##0\)"/>
    <numFmt numFmtId="185" formatCode="#,##0.00_);\(#,##0.00\)"/>
    <numFmt numFmtId="186" formatCode="000"/>
    <numFmt numFmtId="187" formatCode="#,##0_ ;[Red]\-#,##0\ "/>
    <numFmt numFmtId="188" formatCode="#,##0_ "/>
    <numFmt numFmtId="189" formatCode="#,##0.0000;[Red]#,##0.0000"/>
    <numFmt numFmtId="190" formatCode="_-* #,##0.0000_-;\-* #,##0.0000_-;_-* &quot;-&quot;_-;_-@_-"/>
    <numFmt numFmtId="191" formatCode="#,##0.0000_ "/>
    <numFmt numFmtId="192" formatCode="_-* #,##0.0_-;\-* #,##0.0_-;_-* &quot;-&quot;_-;_-@_-"/>
    <numFmt numFmtId="193" formatCode="_(* #,##0_);_(* \(#,##0\);_(* &quot;-&quot;_);_(@_)"/>
    <numFmt numFmtId="194" formatCode="#,##0.0000"/>
    <numFmt numFmtId="195" formatCode="_(* #,##0.000000_);_(* \(#,##0.000000\);_(* &quot;-&quot;??_);_(@_)"/>
    <numFmt numFmtId="196" formatCode="_(* #,##0.00_);_(* \(#,##0.00\);_(* &quot;-&quot;??_);_(@_)"/>
    <numFmt numFmtId="197" formatCode="_(* \ ##0\ ##0\ ##0_);_(* \(#,##0\);_(* &quot;-&quot;??_);_(@_)"/>
    <numFmt numFmtId="198" formatCode="\ #,##0;\-\ #,##0;\ &quot;-&quot;"/>
    <numFmt numFmtId="199" formatCode="#,##0.00_ "/>
    <numFmt numFmtId="200" formatCode="0.00_);[Red]\(0.00\)"/>
    <numFmt numFmtId="201" formatCode="#,##0.000000_ "/>
    <numFmt numFmtId="202" formatCode="#,##0.000000;[Red]#,##0.000000"/>
    <numFmt numFmtId="203" formatCode="_-* #,##0_-;\-* #,##0_-;_-* &quot;-&quot;??_-;_-@_-"/>
    <numFmt numFmtId="204" formatCode="_-* #,##0.000000_-;\-* #,##0.000000_-;_-* &quot;-&quot;??_-;_-@_-"/>
    <numFmt numFmtId="205" formatCode="#,##0.00000_ "/>
    <numFmt numFmtId="206" formatCode="_-* #\ ##0.00_-;\-* #,##0.00_-;_-* &quot;-&quot;_-;_-@_-"/>
    <numFmt numFmtId="207" formatCode="_-* #\ ###\ ##0_-;\-* #\ ##0_-;_-* &quot;-&quot;_-;_-@_-"/>
    <numFmt numFmtId="208" formatCode="0.00_ "/>
    <numFmt numFmtId="209" formatCode="#,##0.00_);[Red]\(#,##0.00\)"/>
    <numFmt numFmtId="210" formatCode="#,##0_);[Red]\(#,##0\)"/>
    <numFmt numFmtId="211" formatCode="#,##0.0000_);[Red]\(#,##0.0000\)"/>
    <numFmt numFmtId="212" formatCode="0_ "/>
    <numFmt numFmtId="213" formatCode="0_);\(0\)"/>
    <numFmt numFmtId="214" formatCode="#,##0.0;[Red]#,##0.0"/>
    <numFmt numFmtId="215" formatCode="_-* #\ ###\ ##0_-;\-* #,##0_-;_-* &quot;-&quot;_-;_-@_-"/>
    <numFmt numFmtId="216" formatCode="#,##0.000;[Red]#,##0.000"/>
    <numFmt numFmtId="217" formatCode="#\ ###\ ##0"/>
    <numFmt numFmtId="218" formatCode="#,##0;\-#,##0;&quot;-&quot;"/>
    <numFmt numFmtId="219" formatCode="0.000_);[Red]\(0.000\)"/>
  </numFmts>
  <fonts count="37">
    <font>
      <sz val="12"/>
      <name val="新細明體"/>
      <family val="1"/>
    </font>
    <font>
      <sz val="12"/>
      <name val="華康粗圓體"/>
      <family val="3"/>
    </font>
    <font>
      <sz val="9"/>
      <name val="新細明體"/>
      <family val="1"/>
    </font>
    <font>
      <sz val="9"/>
      <name val="超研澤中黑"/>
      <family val="3"/>
    </font>
    <font>
      <sz val="9"/>
      <name val="Arial Narrow"/>
      <family val="2"/>
    </font>
    <font>
      <sz val="9"/>
      <name val="細明體"/>
      <family val="3"/>
    </font>
    <font>
      <sz val="9.5"/>
      <name val="Times New Roman"/>
      <family val="1"/>
    </font>
    <font>
      <sz val="12"/>
      <name val="Arial"/>
      <family val="2"/>
    </font>
    <font>
      <sz val="8"/>
      <name val="Arial Narrow"/>
      <family val="2"/>
    </font>
    <font>
      <sz val="8"/>
      <name val="超研澤中黑"/>
      <family val="3"/>
    </font>
    <font>
      <sz val="8.5"/>
      <name val="超研澤中黑"/>
      <family val="3"/>
    </font>
    <font>
      <sz val="8.5"/>
      <name val="Arial Narrow"/>
      <family val="2"/>
    </font>
    <font>
      <sz val="10"/>
      <name val="Times New Roman"/>
      <family val="1"/>
    </font>
    <font>
      <b/>
      <sz val="12"/>
      <name val="Times"/>
      <family val="1"/>
    </font>
    <font>
      <sz val="9"/>
      <name val="Times New Roman"/>
      <family val="1"/>
    </font>
    <font>
      <sz val="12"/>
      <name val="Times New Roman"/>
      <family val="1"/>
    </font>
    <font>
      <sz val="7.5"/>
      <name val="Times New Roman"/>
      <family val="1"/>
    </font>
    <font>
      <sz val="9"/>
      <color indexed="8"/>
      <name val="Arial Narrow"/>
      <family val="2"/>
    </font>
    <font>
      <sz val="9.5"/>
      <name val="Arial Narrow"/>
      <family val="2"/>
    </font>
    <font>
      <sz val="7.5"/>
      <name val="Arial Narrow"/>
      <family val="2"/>
    </font>
    <font>
      <sz val="7"/>
      <name val="Arial Narrow"/>
      <family val="2"/>
    </font>
    <font>
      <b/>
      <sz val="9"/>
      <name val="新細明體"/>
      <family val="1"/>
    </font>
    <font>
      <sz val="9"/>
      <name val="華康粗圓體"/>
      <family val="3"/>
    </font>
    <font>
      <sz val="8"/>
      <name val="華康粗圓體"/>
      <family val="3"/>
    </font>
    <font>
      <sz val="12"/>
      <name val="Arial Narrow"/>
      <family val="2"/>
    </font>
    <font>
      <sz val="9"/>
      <name val="華康中黑體"/>
      <family val="3"/>
    </font>
    <font>
      <sz val="8.5"/>
      <name val="華康粗圓體"/>
      <family val="3"/>
    </font>
    <font>
      <b/>
      <sz val="8.5"/>
      <name val="Arial Narrow"/>
      <family val="2"/>
    </font>
    <font>
      <sz val="8.5"/>
      <name val="華康中黑體"/>
      <family val="3"/>
    </font>
    <font>
      <sz val="7.5"/>
      <name val="華康粗圓體"/>
      <family val="3"/>
    </font>
    <font>
      <sz val="8"/>
      <name val="華康中黑體"/>
      <family val="3"/>
    </font>
    <font>
      <sz val="11"/>
      <name val="Arial"/>
      <family val="2"/>
    </font>
    <font>
      <sz val="11"/>
      <name val="華康粗圓體"/>
      <family val="3"/>
    </font>
    <font>
      <sz val="9"/>
      <color indexed="8"/>
      <name val="華康粗圓體"/>
      <family val="3"/>
    </font>
    <font>
      <sz val="11.5"/>
      <name val="Arial"/>
      <family val="2"/>
    </font>
    <font>
      <sz val="11.5"/>
      <name val="華康粗圓體"/>
      <family val="3"/>
    </font>
    <font>
      <b/>
      <sz val="8"/>
      <name val="新細明體"/>
      <family val="2"/>
    </font>
  </fonts>
  <fills count="2">
    <fill>
      <patternFill/>
    </fill>
    <fill>
      <patternFill patternType="gray125"/>
    </fill>
  </fills>
  <borders count="30">
    <border>
      <left/>
      <right/>
      <top/>
      <bottom/>
      <diagonal/>
    </border>
    <border>
      <left>
        <color indexed="63"/>
      </left>
      <right style="thin"/>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thin"/>
    </border>
    <border>
      <left>
        <color indexed="63"/>
      </left>
      <right style="thin"/>
      <top style="medium"/>
      <bottom style="thin"/>
    </border>
    <border>
      <left style="medium"/>
      <right style="thin"/>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style="medium"/>
    </border>
    <border>
      <left style="thin"/>
      <right>
        <color indexed="63"/>
      </right>
      <top style="medium"/>
      <bottom style="thin"/>
    </border>
    <border>
      <left style="medium"/>
      <right>
        <color indexed="63"/>
      </right>
      <top style="medium"/>
      <bottom>
        <color indexed="63"/>
      </bottom>
    </border>
    <border>
      <left style="thin"/>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ont="0" applyBorder="0" applyAlignment="0">
      <protection/>
    </xf>
    <xf numFmtId="38" fontId="15" fillId="0" borderId="0" applyBorder="0">
      <alignment vertical="center"/>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13" fillId="0" borderId="1">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97">
    <xf numFmtId="0" fontId="0" fillId="0" borderId="0" xfId="0" applyAlignment="1">
      <alignment/>
    </xf>
    <xf numFmtId="0" fontId="4" fillId="0" borderId="0" xfId="0" applyFont="1" applyBorder="1" applyAlignment="1">
      <alignment horizontal="center" vertical="center"/>
    </xf>
    <xf numFmtId="179" fontId="4" fillId="0" borderId="2" xfId="0" applyNumberFormat="1" applyFont="1" applyBorder="1" applyAlignment="1">
      <alignment horizontal="right" vertical="center"/>
    </xf>
    <xf numFmtId="179" fontId="4" fillId="0" borderId="3" xfId="0" applyNumberFormat="1" applyFont="1" applyBorder="1" applyAlignment="1">
      <alignment horizontal="right" vertical="center"/>
    </xf>
    <xf numFmtId="179" fontId="4" fillId="0" borderId="4" xfId="0" applyNumberFormat="1" applyFont="1" applyBorder="1" applyAlignment="1">
      <alignment horizontal="right" vertical="center"/>
    </xf>
    <xf numFmtId="0" fontId="4" fillId="0" borderId="0" xfId="0" applyFont="1" applyBorder="1" applyAlignment="1">
      <alignment vertical="center"/>
    </xf>
    <xf numFmtId="0" fontId="4" fillId="0" borderId="5" xfId="0" applyFont="1" applyBorder="1" applyAlignment="1">
      <alignment horizontal="center" vertical="center"/>
    </xf>
    <xf numFmtId="179" fontId="4" fillId="0" borderId="6" xfId="0" applyNumberFormat="1" applyFont="1" applyBorder="1" applyAlignment="1">
      <alignment horizontal="right" vertical="center"/>
    </xf>
    <xf numFmtId="179" fontId="4" fillId="0" borderId="7" xfId="0" applyNumberFormat="1" applyFont="1" applyBorder="1" applyAlignment="1">
      <alignment horizontal="right" vertical="center"/>
    </xf>
    <xf numFmtId="179" fontId="4" fillId="0" borderId="1" xfId="0" applyNumberFormat="1" applyFont="1" applyBorder="1" applyAlignment="1">
      <alignment horizontal="right" vertical="center"/>
    </xf>
    <xf numFmtId="179" fontId="4" fillId="0" borderId="8" xfId="0" applyNumberFormat="1" applyFont="1" applyBorder="1" applyAlignment="1">
      <alignment horizontal="right" vertical="center"/>
    </xf>
    <xf numFmtId="0" fontId="3" fillId="0" borderId="0" xfId="0" applyFont="1" applyAlignment="1">
      <alignment horizontal="left" vertical="center"/>
    </xf>
    <xf numFmtId="0" fontId="4" fillId="0" borderId="8" xfId="0" applyFont="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vertical="center"/>
    </xf>
    <xf numFmtId="179" fontId="4" fillId="0" borderId="0" xfId="0" applyNumberFormat="1" applyFont="1" applyBorder="1" applyAlignment="1">
      <alignment horizontal="right" vertical="center"/>
    </xf>
    <xf numFmtId="0" fontId="7" fillId="0" borderId="0" xfId="0" applyFont="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0" xfId="0" applyFont="1" applyAlignment="1">
      <alignment horizontal="center" vertical="center"/>
    </xf>
    <xf numFmtId="0" fontId="3" fillId="0" borderId="0" xfId="0" applyFont="1" applyAlignment="1">
      <alignment vertical="center"/>
    </xf>
    <xf numFmtId="0" fontId="3" fillId="0" borderId="5" xfId="0" applyFont="1" applyBorder="1" applyAlignment="1">
      <alignment horizontal="right" vertical="center"/>
    </xf>
    <xf numFmtId="0" fontId="4" fillId="0" borderId="0" xfId="0" applyFont="1" applyAlignment="1">
      <alignment vertical="center"/>
    </xf>
    <xf numFmtId="0" fontId="4" fillId="0" borderId="5" xfId="0" applyFont="1" applyBorder="1" applyAlignment="1">
      <alignment horizontal="right" vertical="center"/>
    </xf>
    <xf numFmtId="0" fontId="4" fillId="0" borderId="0" xfId="0" applyFont="1" applyAlignment="1">
      <alignment horizontal="left" vertical="center"/>
    </xf>
    <xf numFmtId="0" fontId="4" fillId="0" borderId="5" xfId="0" applyFont="1" applyBorder="1" applyAlignment="1">
      <alignment horizontal="center" vertical="center" wrapText="1"/>
    </xf>
    <xf numFmtId="179" fontId="4" fillId="0" borderId="9" xfId="0" applyNumberFormat="1" applyFont="1" applyBorder="1" applyAlignment="1">
      <alignment horizontal="right" vertical="center"/>
    </xf>
    <xf numFmtId="0" fontId="8" fillId="0" borderId="0" xfId="0" applyFont="1" applyBorder="1" applyAlignment="1">
      <alignment horizontal="right" vertical="center"/>
    </xf>
    <xf numFmtId="179" fontId="8" fillId="0" borderId="0" xfId="0" applyNumberFormat="1" applyFont="1" applyBorder="1" applyAlignment="1">
      <alignment horizontal="right" vertical="center"/>
    </xf>
    <xf numFmtId="0" fontId="4" fillId="0" borderId="0" xfId="0" applyFont="1" applyBorder="1" applyAlignment="1">
      <alignment horizontal="right" vertical="center"/>
    </xf>
    <xf numFmtId="179" fontId="4" fillId="0" borderId="10" xfId="0" applyNumberFormat="1" applyFont="1" applyBorder="1" applyAlignment="1">
      <alignment horizontal="right" vertical="center"/>
    </xf>
    <xf numFmtId="179" fontId="4" fillId="0" borderId="5" xfId="0" applyNumberFormat="1" applyFont="1" applyBorder="1" applyAlignment="1">
      <alignment horizontal="right" vertical="center"/>
    </xf>
    <xf numFmtId="0" fontId="8" fillId="0" borderId="0" xfId="0" applyFont="1" applyBorder="1" applyAlignment="1">
      <alignment horizontal="center" vertical="center"/>
    </xf>
    <xf numFmtId="0" fontId="8" fillId="0" borderId="0" xfId="0" applyFont="1" applyAlignment="1">
      <alignment horizontal="left" vertical="center"/>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8" fillId="0" borderId="5" xfId="0" applyFont="1" applyBorder="1" applyAlignment="1">
      <alignment horizontal="right" vertical="center"/>
    </xf>
    <xf numFmtId="0" fontId="4" fillId="0" borderId="5" xfId="0" applyFont="1" applyBorder="1" applyAlignment="1">
      <alignment vertical="center"/>
    </xf>
    <xf numFmtId="0" fontId="4" fillId="0" borderId="11" xfId="0" applyFont="1" applyBorder="1" applyAlignment="1">
      <alignment horizontal="center" vertical="center"/>
    </xf>
    <xf numFmtId="0" fontId="7" fillId="0" borderId="0" xfId="0" applyFont="1" applyAlignment="1">
      <alignment vertical="center"/>
    </xf>
    <xf numFmtId="0" fontId="8" fillId="0" borderId="0" xfId="0" applyFont="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xf>
    <xf numFmtId="0" fontId="8" fillId="0" borderId="11" xfId="0" applyFont="1" applyBorder="1" applyAlignment="1">
      <alignment horizontal="center" vertical="center" wrapText="1"/>
    </xf>
    <xf numFmtId="0" fontId="4" fillId="0" borderId="0" xfId="0" applyFont="1" applyAlignment="1">
      <alignment horizontal="right" vertical="center"/>
    </xf>
    <xf numFmtId="179" fontId="4" fillId="0" borderId="3" xfId="0" applyNumberFormat="1" applyFont="1" applyBorder="1" applyAlignment="1" quotePrefix="1">
      <alignment horizontal="right" vertical="center"/>
    </xf>
    <xf numFmtId="0" fontId="11" fillId="0" borderId="0" xfId="0" applyFont="1" applyAlignment="1">
      <alignment horizontal="left" vertical="center"/>
    </xf>
    <xf numFmtId="0" fontId="11" fillId="0" borderId="0" xfId="0" applyFont="1" applyAlignment="1">
      <alignment horizontal="center" vertical="center"/>
    </xf>
    <xf numFmtId="0" fontId="11" fillId="0" borderId="5" xfId="0" applyFont="1" applyBorder="1" applyAlignment="1">
      <alignment horizontal="center" vertical="center"/>
    </xf>
    <xf numFmtId="179" fontId="11" fillId="0" borderId="5" xfId="0" applyNumberFormat="1" applyFont="1" applyBorder="1" applyAlignment="1">
      <alignment horizontal="right" vertical="center"/>
    </xf>
    <xf numFmtId="179" fontId="11" fillId="0" borderId="0" xfId="0" applyNumberFormat="1" applyFont="1" applyBorder="1" applyAlignment="1">
      <alignment horizontal="right" vertical="center"/>
    </xf>
    <xf numFmtId="0" fontId="11" fillId="0" borderId="0" xfId="0" applyFont="1" applyAlignment="1">
      <alignment horizontal="center" vertical="center" wrapText="1"/>
    </xf>
    <xf numFmtId="0" fontId="11" fillId="0" borderId="8"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9" xfId="0" applyFont="1" applyBorder="1" applyAlignment="1">
      <alignment horizontal="center" vertical="center" wrapText="1"/>
    </xf>
    <xf numFmtId="179" fontId="11" fillId="0" borderId="3" xfId="0" applyNumberFormat="1" applyFont="1" applyBorder="1" applyAlignment="1" quotePrefix="1">
      <alignment horizontal="right" vertical="center"/>
    </xf>
    <xf numFmtId="179" fontId="11" fillId="0" borderId="3" xfId="0" applyNumberFormat="1" applyFont="1" applyBorder="1" applyAlignment="1">
      <alignment horizontal="right" vertical="center"/>
    </xf>
    <xf numFmtId="179" fontId="11" fillId="0" borderId="1" xfId="0" applyNumberFormat="1" applyFont="1" applyBorder="1" applyAlignment="1">
      <alignment horizontal="right" vertical="center"/>
    </xf>
    <xf numFmtId="0" fontId="11" fillId="0" borderId="5" xfId="0" applyFont="1" applyBorder="1" applyAlignment="1">
      <alignment horizontal="right" vertical="center"/>
    </xf>
    <xf numFmtId="0" fontId="9" fillId="0" borderId="0" xfId="0" applyFont="1" applyAlignment="1">
      <alignment vertical="center"/>
    </xf>
    <xf numFmtId="0" fontId="8" fillId="0" borderId="5" xfId="0" applyFont="1" applyBorder="1" applyAlignment="1">
      <alignment vertical="center"/>
    </xf>
    <xf numFmtId="0" fontId="3" fillId="0" borderId="0" xfId="0" applyFont="1" applyAlignment="1">
      <alignment/>
    </xf>
    <xf numFmtId="218" fontId="4" fillId="0" borderId="3" xfId="0" applyNumberFormat="1" applyFont="1" applyBorder="1" applyAlignment="1">
      <alignment horizontal="right" vertical="center"/>
    </xf>
    <xf numFmtId="218" fontId="4" fillId="0" borderId="4" xfId="0" applyNumberFormat="1" applyFont="1" applyBorder="1" applyAlignment="1">
      <alignment horizontal="right" vertical="center"/>
    </xf>
    <xf numFmtId="218" fontId="4" fillId="0" borderId="4" xfId="0" applyNumberFormat="1" applyFont="1" applyFill="1" applyBorder="1" applyAlignment="1">
      <alignment horizontal="right" vertical="center"/>
    </xf>
    <xf numFmtId="0" fontId="4" fillId="0" borderId="0" xfId="0" applyFont="1" applyAlignment="1" quotePrefix="1">
      <alignment/>
    </xf>
    <xf numFmtId="0" fontId="4" fillId="0" borderId="0" xfId="0" applyFont="1" applyAlignment="1">
      <alignment/>
    </xf>
    <xf numFmtId="0" fontId="4" fillId="0" borderId="0" xfId="0" applyFont="1" applyBorder="1" applyAlignment="1">
      <alignment/>
    </xf>
    <xf numFmtId="218" fontId="4" fillId="0" borderId="1" xfId="0" applyNumberFormat="1" applyFont="1" applyBorder="1" applyAlignment="1">
      <alignment horizontal="right" vertical="center"/>
    </xf>
    <xf numFmtId="179" fontId="4" fillId="0" borderId="3" xfId="0" applyNumberFormat="1" applyFont="1" applyFill="1" applyBorder="1" applyAlignment="1">
      <alignment horizontal="right" vertical="center"/>
    </xf>
    <xf numFmtId="0" fontId="4" fillId="0" borderId="0" xfId="0" applyFont="1" applyAlignment="1" quotePrefix="1">
      <alignment vertical="center"/>
    </xf>
    <xf numFmtId="179" fontId="4" fillId="0" borderId="7" xfId="0" applyNumberFormat="1" applyFont="1" applyBorder="1" applyAlignment="1" quotePrefix="1">
      <alignment horizontal="right" vertical="center"/>
    </xf>
    <xf numFmtId="208" fontId="4" fillId="0" borderId="0" xfId="0" applyNumberFormat="1" applyFont="1" applyAlignment="1">
      <alignment vertical="center"/>
    </xf>
    <xf numFmtId="208" fontId="4" fillId="0" borderId="11"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14" fillId="0" borderId="0" xfId="0" applyFont="1" applyAlignment="1">
      <alignment horizontal="center" vertical="center"/>
    </xf>
    <xf numFmtId="0" fontId="4" fillId="0" borderId="0" xfId="0" applyFont="1" applyBorder="1" applyAlignment="1">
      <alignment/>
    </xf>
    <xf numFmtId="218" fontId="4" fillId="0" borderId="3" xfId="0" applyNumberFormat="1" applyFont="1" applyFill="1" applyBorder="1" applyAlignment="1">
      <alignment horizontal="right" vertical="center"/>
    </xf>
    <xf numFmtId="218" fontId="4" fillId="0" borderId="7" xfId="0" applyNumberFormat="1" applyFont="1" applyFill="1" applyBorder="1" applyAlignment="1">
      <alignment horizontal="right" vertical="center"/>
    </xf>
    <xf numFmtId="218" fontId="4" fillId="0" borderId="9" xfId="0" applyNumberFormat="1" applyFont="1" applyFill="1" applyBorder="1" applyAlignment="1">
      <alignment horizontal="right" vertical="center"/>
    </xf>
    <xf numFmtId="218" fontId="4" fillId="0" borderId="8" xfId="0" applyNumberFormat="1" applyFont="1" applyFill="1" applyBorder="1" applyAlignment="1">
      <alignment horizontal="righ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Fill="1" applyBorder="1" applyAlignment="1">
      <alignment vertical="center"/>
    </xf>
    <xf numFmtId="0" fontId="4" fillId="0" borderId="7" xfId="0" applyFont="1" applyBorder="1" applyAlignment="1">
      <alignment horizontal="center" vertical="center"/>
    </xf>
    <xf numFmtId="3" fontId="4" fillId="0" borderId="0" xfId="16" applyNumberFormat="1" applyFont="1" applyBorder="1" applyAlignment="1" quotePrefix="1">
      <alignment horizontal="center" vertical="center" wrapText="1"/>
      <protection/>
    </xf>
    <xf numFmtId="179" fontId="4" fillId="0" borderId="15" xfId="16" applyNumberFormat="1" applyFont="1" applyBorder="1" applyAlignment="1" quotePrefix="1">
      <alignment horizontal="right" vertical="center"/>
      <protection/>
    </xf>
    <xf numFmtId="179" fontId="4" fillId="0" borderId="10" xfId="16" applyNumberFormat="1" applyFont="1" applyBorder="1" applyAlignment="1" quotePrefix="1">
      <alignment horizontal="right" vertical="center"/>
      <protection/>
    </xf>
    <xf numFmtId="3" fontId="4" fillId="0" borderId="0" xfId="16" applyNumberFormat="1" applyFont="1" applyBorder="1" applyAlignment="1">
      <alignment vertical="center"/>
      <protection/>
    </xf>
    <xf numFmtId="3" fontId="4" fillId="0" borderId="0" xfId="16" applyNumberFormat="1" applyFont="1" applyBorder="1" applyAlignment="1">
      <alignment horizontal="center" vertical="center" wrapText="1"/>
      <protection/>
    </xf>
    <xf numFmtId="179" fontId="4" fillId="0" borderId="2" xfId="16" applyNumberFormat="1" applyFont="1" applyBorder="1" applyAlignment="1" quotePrefix="1">
      <alignment horizontal="right" vertical="center"/>
      <protection/>
    </xf>
    <xf numFmtId="179" fontId="4" fillId="0" borderId="3" xfId="16" applyNumberFormat="1" applyFont="1" applyBorder="1" applyAlignment="1" quotePrefix="1">
      <alignment horizontal="right" vertical="center"/>
      <protection/>
    </xf>
    <xf numFmtId="3" fontId="4" fillId="0" borderId="0" xfId="16" applyNumberFormat="1" applyFont="1" applyBorder="1" applyAlignment="1" quotePrefix="1">
      <alignment horizontal="center" vertical="center"/>
      <protection/>
    </xf>
    <xf numFmtId="3" fontId="4" fillId="0" borderId="11" xfId="16" applyNumberFormat="1" applyFont="1" applyBorder="1" applyAlignment="1" quotePrefix="1">
      <alignment horizontal="center" vertical="center"/>
      <protection/>
    </xf>
    <xf numFmtId="3" fontId="4" fillId="0" borderId="0" xfId="16" applyNumberFormat="1" applyFont="1" applyFill="1" applyBorder="1" applyAlignment="1">
      <alignment vertical="center"/>
      <protection/>
    </xf>
    <xf numFmtId="3" fontId="4" fillId="0" borderId="0" xfId="16" applyNumberFormat="1" applyFont="1" applyAlignment="1">
      <alignment horizontal="left" vertical="center"/>
      <protection/>
    </xf>
    <xf numFmtId="218" fontId="4" fillId="0" borderId="0" xfId="16" applyNumberFormat="1" applyFont="1" applyFill="1" applyBorder="1" applyAlignment="1" quotePrefix="1">
      <alignment vertical="center"/>
      <protection/>
    </xf>
    <xf numFmtId="218" fontId="4" fillId="0" borderId="0" xfId="16" applyNumberFormat="1" applyFont="1" applyFill="1" applyBorder="1" applyAlignment="1">
      <alignment vertical="center"/>
      <protection/>
    </xf>
    <xf numFmtId="218" fontId="4" fillId="0" borderId="0" xfId="16" applyNumberFormat="1" applyFont="1" applyFill="1" applyBorder="1" applyAlignment="1" quotePrefix="1">
      <alignment horizontal="right" vertical="center"/>
      <protection/>
    </xf>
    <xf numFmtId="3" fontId="4" fillId="0" borderId="0" xfId="16" applyNumberFormat="1" applyFont="1" applyAlignment="1" quotePrefix="1">
      <alignment horizontal="left"/>
      <protection/>
    </xf>
    <xf numFmtId="3" fontId="4" fillId="0" borderId="0" xfId="16" applyNumberFormat="1" applyFont="1">
      <alignment vertical="center"/>
      <protection/>
    </xf>
    <xf numFmtId="3" fontId="4" fillId="0" borderId="0" xfId="16" applyNumberFormat="1" applyFont="1" applyBorder="1">
      <alignment vertical="center"/>
      <protection/>
    </xf>
    <xf numFmtId="3" fontId="4" fillId="0" borderId="11" xfId="16" applyNumberFormat="1" applyFont="1" applyBorder="1" applyAlignment="1">
      <alignment horizontal="left" vertical="center"/>
      <protection/>
    </xf>
    <xf numFmtId="3" fontId="4" fillId="0" borderId="12" xfId="16" applyNumberFormat="1" applyFont="1" applyFill="1" applyBorder="1" applyAlignment="1">
      <alignment horizontal="left" vertical="center"/>
      <protection/>
    </xf>
    <xf numFmtId="49" fontId="4" fillId="0" borderId="11" xfId="16" applyNumberFormat="1" applyFont="1" applyBorder="1" applyAlignment="1">
      <alignment horizontal="left" vertical="center" wrapText="1"/>
      <protection/>
    </xf>
    <xf numFmtId="0" fontId="4" fillId="0" borderId="11" xfId="0" applyFont="1" applyBorder="1" applyAlignment="1">
      <alignment horizontal="left" vertical="center"/>
    </xf>
    <xf numFmtId="179" fontId="4" fillId="0" borderId="16" xfId="0" applyNumberFormat="1" applyFont="1" applyBorder="1" applyAlignment="1">
      <alignment horizontal="right" vertical="center"/>
    </xf>
    <xf numFmtId="0" fontId="8" fillId="0" borderId="5" xfId="0" applyFont="1" applyBorder="1" applyAlignment="1">
      <alignment horizontal="center" vertical="center"/>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8" fillId="0" borderId="18" xfId="0" applyFont="1" applyBorder="1" applyAlignment="1">
      <alignment vertical="center"/>
    </xf>
    <xf numFmtId="0" fontId="8" fillId="0" borderId="19" xfId="0" applyFont="1" applyBorder="1" applyAlignment="1">
      <alignment vertical="center"/>
    </xf>
    <xf numFmtId="188" fontId="8" fillId="0" borderId="2" xfId="0" applyNumberFormat="1" applyFont="1" applyBorder="1" applyAlignment="1">
      <alignment horizontal="right" vertical="center"/>
    </xf>
    <xf numFmtId="188" fontId="8" fillId="0" borderId="1" xfId="0" applyNumberFormat="1" applyFont="1" applyBorder="1" applyAlignment="1">
      <alignment horizontal="right" vertical="center"/>
    </xf>
    <xf numFmtId="188" fontId="8" fillId="0" borderId="3" xfId="0" applyNumberFormat="1" applyFont="1" applyBorder="1" applyAlignment="1">
      <alignment horizontal="right" vertical="center"/>
    </xf>
    <xf numFmtId="188" fontId="8" fillId="0" borderId="4" xfId="0" applyNumberFormat="1" applyFont="1" applyBorder="1" applyAlignment="1">
      <alignment horizontal="right" vertical="center"/>
    </xf>
    <xf numFmtId="188" fontId="8" fillId="0" borderId="4" xfId="0" applyNumberFormat="1" applyFont="1" applyFill="1" applyBorder="1" applyAlignment="1">
      <alignment horizontal="right" vertical="center"/>
    </xf>
    <xf numFmtId="188" fontId="8" fillId="0" borderId="1" xfId="0" applyNumberFormat="1" applyFont="1" applyFill="1" applyBorder="1" applyAlignment="1">
      <alignment horizontal="right" vertical="center"/>
    </xf>
    <xf numFmtId="188" fontId="8" fillId="0" borderId="0" xfId="0" applyNumberFormat="1" applyFont="1" applyFill="1" applyBorder="1" applyAlignment="1">
      <alignment horizontal="right" vertical="center"/>
    </xf>
    <xf numFmtId="188" fontId="8" fillId="0" borderId="6" xfId="0" applyNumberFormat="1" applyFont="1" applyBorder="1" applyAlignment="1">
      <alignment horizontal="right" vertical="center"/>
    </xf>
    <xf numFmtId="188" fontId="8" fillId="0" borderId="8" xfId="0" applyNumberFormat="1" applyFont="1" applyBorder="1" applyAlignment="1">
      <alignment horizontal="right" vertical="center"/>
    </xf>
    <xf numFmtId="188" fontId="8" fillId="0" borderId="7" xfId="0" applyNumberFormat="1" applyFont="1" applyBorder="1" applyAlignment="1">
      <alignment horizontal="right" vertical="center"/>
    </xf>
    <xf numFmtId="188" fontId="8" fillId="0" borderId="9" xfId="0" applyNumberFormat="1" applyFont="1" applyBorder="1" applyAlignment="1">
      <alignment horizontal="right" vertical="center"/>
    </xf>
    <xf numFmtId="184" fontId="8" fillId="0" borderId="0" xfId="0" applyNumberFormat="1" applyFont="1" applyBorder="1" applyAlignment="1">
      <alignment horizontal="left"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8" xfId="0" applyFont="1" applyBorder="1" applyAlignment="1">
      <alignment horizontal="center" vertical="center"/>
    </xf>
    <xf numFmtId="208" fontId="8" fillId="0" borderId="0" xfId="0" applyNumberFormat="1" applyFont="1" applyFill="1" applyBorder="1" applyAlignment="1">
      <alignment horizontal="left" vertical="center" wrapText="1"/>
    </xf>
    <xf numFmtId="188" fontId="8" fillId="0" borderId="0" xfId="0" applyNumberFormat="1" applyFont="1" applyBorder="1" applyAlignment="1">
      <alignment horizontal="right" vertical="center"/>
    </xf>
    <xf numFmtId="0" fontId="8" fillId="0" borderId="19" xfId="0" applyFont="1" applyBorder="1" applyAlignment="1">
      <alignment horizontal="center" vertical="center"/>
    </xf>
    <xf numFmtId="0" fontId="4" fillId="0" borderId="20" xfId="0" applyFont="1" applyBorder="1" applyAlignment="1">
      <alignment horizontal="center" vertical="center"/>
    </xf>
    <xf numFmtId="184" fontId="4" fillId="0" borderId="0" xfId="0" applyNumberFormat="1" applyFont="1" applyBorder="1" applyAlignment="1">
      <alignment horizontal="right"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18" fillId="0" borderId="0" xfId="0" applyFont="1" applyAlignment="1">
      <alignment horizontal="left" vertical="center"/>
    </xf>
    <xf numFmtId="0" fontId="18" fillId="0" borderId="0" xfId="0" applyFont="1" applyAlignment="1">
      <alignment horizontal="center" vertical="center"/>
    </xf>
    <xf numFmtId="179" fontId="11" fillId="0" borderId="4" xfId="0" applyNumberFormat="1" applyFont="1" applyBorder="1" applyAlignment="1">
      <alignment horizontal="right" vertical="center"/>
    </xf>
    <xf numFmtId="0" fontId="11" fillId="0" borderId="0" xfId="0" applyFont="1" applyBorder="1" applyAlignment="1">
      <alignment horizontal="right" vertical="center"/>
    </xf>
    <xf numFmtId="179" fontId="11" fillId="0" borderId="2" xfId="0" applyNumberFormat="1" applyFont="1" applyBorder="1" applyAlignment="1">
      <alignment horizontal="right" vertical="center"/>
    </xf>
    <xf numFmtId="179" fontId="11" fillId="0" borderId="3" xfId="0" applyNumberFormat="1" applyFont="1" applyFill="1" applyBorder="1" applyAlignment="1">
      <alignment horizontal="right" vertical="center"/>
    </xf>
    <xf numFmtId="179" fontId="11" fillId="0" borderId="4" xfId="0" applyNumberFormat="1" applyFont="1" applyFill="1" applyBorder="1" applyAlignment="1">
      <alignment horizontal="right" vertical="center"/>
    </xf>
    <xf numFmtId="179" fontId="11" fillId="0" borderId="6" xfId="0" applyNumberFormat="1" applyFont="1" applyBorder="1" applyAlignment="1">
      <alignment horizontal="right" vertical="center"/>
    </xf>
    <xf numFmtId="179" fontId="11" fillId="0" borderId="7" xfId="0" applyNumberFormat="1" applyFont="1" applyBorder="1" applyAlignment="1">
      <alignment horizontal="right" vertical="center"/>
    </xf>
    <xf numFmtId="179" fontId="11" fillId="0" borderId="9" xfId="0" applyNumberFormat="1" applyFont="1" applyBorder="1" applyAlignment="1">
      <alignment horizontal="right" vertical="center"/>
    </xf>
    <xf numFmtId="0" fontId="11" fillId="0" borderId="0" xfId="0" applyFont="1" applyBorder="1" applyAlignment="1">
      <alignment horizontal="center" vertical="center"/>
    </xf>
    <xf numFmtId="0" fontId="11" fillId="0" borderId="5" xfId="0" applyFont="1" applyBorder="1" applyAlignment="1">
      <alignment vertical="center"/>
    </xf>
    <xf numFmtId="0" fontId="11" fillId="0" borderId="6" xfId="0" applyFont="1" applyBorder="1" applyAlignment="1">
      <alignment horizontal="center" vertical="center" wrapText="1"/>
    </xf>
    <xf numFmtId="0" fontId="10" fillId="0" borderId="0" xfId="0" applyFont="1" applyAlignment="1">
      <alignment/>
    </xf>
    <xf numFmtId="0" fontId="11" fillId="0" borderId="0" xfId="0" applyFont="1" applyAlignment="1" quotePrefix="1">
      <alignment/>
    </xf>
    <xf numFmtId="0" fontId="11" fillId="0" borderId="0" xfId="0" applyFont="1" applyAlignment="1">
      <alignment/>
    </xf>
    <xf numFmtId="0" fontId="11" fillId="0" borderId="0" xfId="0" applyFont="1" applyBorder="1" applyAlignment="1">
      <alignment/>
    </xf>
    <xf numFmtId="179" fontId="4" fillId="0" borderId="1" xfId="0" applyNumberFormat="1" applyFont="1" applyBorder="1" applyAlignment="1" quotePrefix="1">
      <alignment horizontal="right" vertical="center"/>
    </xf>
    <xf numFmtId="0" fontId="11" fillId="0" borderId="0" xfId="0" applyFont="1" applyFill="1" applyAlignment="1">
      <alignment horizontal="left" vertical="center"/>
    </xf>
    <xf numFmtId="3" fontId="4" fillId="0" borderId="11" xfId="16" applyNumberFormat="1" applyFont="1" applyBorder="1" applyAlignment="1">
      <alignment horizontal="left" vertical="center" wrapText="1"/>
      <protection/>
    </xf>
    <xf numFmtId="188" fontId="8" fillId="0" borderId="6" xfId="0" applyNumberFormat="1" applyFont="1" applyFill="1" applyBorder="1" applyAlignment="1">
      <alignment horizontal="right" vertical="center"/>
    </xf>
    <xf numFmtId="188" fontId="8" fillId="0" borderId="2" xfId="0" applyNumberFormat="1" applyFont="1" applyFill="1" applyBorder="1" applyAlignment="1">
      <alignment horizontal="right" vertical="center"/>
    </xf>
    <xf numFmtId="218" fontId="4" fillId="0" borderId="1" xfId="0" applyNumberFormat="1" applyFont="1" applyFill="1" applyBorder="1" applyAlignment="1">
      <alignment horizontal="right" vertical="center"/>
    </xf>
    <xf numFmtId="179" fontId="4" fillId="0" borderId="3" xfId="16" applyNumberFormat="1" applyFont="1" applyBorder="1" applyAlignment="1">
      <alignment horizontal="right" vertical="center"/>
      <protection/>
    </xf>
    <xf numFmtId="0" fontId="4" fillId="0" borderId="11" xfId="0" applyFont="1" applyBorder="1" applyAlignment="1">
      <alignment horizontal="left" vertical="center" wrapText="1"/>
    </xf>
    <xf numFmtId="208" fontId="4" fillId="0" borderId="0" xfId="0" applyNumberFormat="1" applyFont="1" applyBorder="1" applyAlignment="1">
      <alignment vertical="center"/>
    </xf>
    <xf numFmtId="0" fontId="4" fillId="0" borderId="11" xfId="0" applyFont="1" applyBorder="1" applyAlignment="1">
      <alignment horizontal="right" vertical="center" wrapText="1"/>
    </xf>
    <xf numFmtId="208" fontId="4" fillId="0" borderId="11" xfId="0" applyNumberFormat="1" applyFont="1" applyFill="1" applyBorder="1" applyAlignment="1">
      <alignment horizontal="center" vertical="center" wrapText="1"/>
    </xf>
    <xf numFmtId="208" fontId="4" fillId="0" borderId="12" xfId="0" applyNumberFormat="1" applyFont="1" applyFill="1" applyBorder="1" applyAlignment="1">
      <alignment horizontal="center" vertical="center" wrapText="1"/>
    </xf>
    <xf numFmtId="208" fontId="8" fillId="0" borderId="11" xfId="0" applyNumberFormat="1" applyFont="1" applyFill="1" applyBorder="1" applyAlignment="1">
      <alignment horizontal="right" vertical="center" wrapText="1"/>
    </xf>
    <xf numFmtId="208" fontId="8" fillId="0" borderId="11" xfId="0" applyNumberFormat="1" applyFont="1" applyFill="1" applyBorder="1" applyAlignment="1">
      <alignment horizontal="right" vertical="center"/>
    </xf>
    <xf numFmtId="208" fontId="4" fillId="0" borderId="11" xfId="0" applyNumberFormat="1" applyFont="1" applyFill="1" applyBorder="1" applyAlignment="1">
      <alignment horizontal="right" vertical="center" wrapText="1"/>
    </xf>
    <xf numFmtId="208" fontId="4" fillId="0" borderId="12" xfId="0" applyNumberFormat="1" applyFont="1" applyFill="1" applyBorder="1" applyAlignment="1">
      <alignment horizontal="right" vertical="center" wrapText="1"/>
    </xf>
    <xf numFmtId="0" fontId="8" fillId="0" borderId="0" xfId="0" applyFont="1" applyBorder="1" applyAlignment="1">
      <alignment horizontal="left" vertical="center"/>
    </xf>
    <xf numFmtId="0" fontId="8" fillId="0" borderId="5" xfId="0" applyFont="1" applyBorder="1" applyAlignment="1">
      <alignment horizontal="left" vertical="center"/>
    </xf>
    <xf numFmtId="0" fontId="7" fillId="0" borderId="0" xfId="0" applyFont="1" applyAlignment="1">
      <alignment horizontal="center" vertical="center" wrapText="1"/>
    </xf>
    <xf numFmtId="179" fontId="4" fillId="0" borderId="4" xfId="0" applyNumberFormat="1" applyFont="1" applyBorder="1" applyAlignment="1">
      <alignment vertical="center"/>
    </xf>
    <xf numFmtId="0" fontId="25" fillId="0" borderId="5" xfId="0" applyFont="1" applyBorder="1" applyAlignment="1">
      <alignment horizontal="right" vertical="center"/>
    </xf>
    <xf numFmtId="0" fontId="25" fillId="0" borderId="0" xfId="0" applyFont="1" applyAlignment="1">
      <alignment horizontal="left" vertical="center"/>
    </xf>
    <xf numFmtId="0" fontId="26" fillId="0" borderId="21" xfId="0" applyFont="1" applyBorder="1" applyAlignment="1">
      <alignment horizontal="center" vertical="center"/>
    </xf>
    <xf numFmtId="0" fontId="26" fillId="0" borderId="22" xfId="0" applyFont="1" applyBorder="1" applyAlignment="1">
      <alignment horizontal="center" vertical="center" wrapText="1"/>
    </xf>
    <xf numFmtId="0" fontId="26" fillId="0" borderId="22" xfId="0" applyFont="1" applyBorder="1" applyAlignment="1">
      <alignment horizontal="center" vertical="center"/>
    </xf>
    <xf numFmtId="0" fontId="26" fillId="0" borderId="23" xfId="0" applyFont="1" applyBorder="1" applyAlignment="1">
      <alignment horizontal="center" vertical="center" wrapText="1"/>
    </xf>
    <xf numFmtId="0" fontId="26" fillId="0" borderId="0" xfId="0" applyFont="1" applyBorder="1" applyAlignment="1">
      <alignment horizontal="left" vertical="center" wrapText="1"/>
    </xf>
    <xf numFmtId="179" fontId="11" fillId="0" borderId="15" xfId="20" applyNumberFormat="1" applyFont="1" applyBorder="1" applyAlignment="1">
      <alignment horizontal="right" vertical="center"/>
      <protection/>
    </xf>
    <xf numFmtId="179" fontId="11" fillId="0" borderId="10" xfId="20" applyNumberFormat="1" applyFont="1" applyBorder="1" applyAlignment="1">
      <alignment horizontal="right" vertical="center"/>
      <protection/>
    </xf>
    <xf numFmtId="179" fontId="11" fillId="0" borderId="10" xfId="17" applyNumberFormat="1" applyFont="1" applyBorder="1" applyAlignment="1">
      <alignment vertical="center"/>
      <protection/>
    </xf>
    <xf numFmtId="179" fontId="11" fillId="0" borderId="24" xfId="17" applyNumberFormat="1" applyFont="1" applyBorder="1" applyAlignment="1">
      <alignment vertical="center"/>
      <protection/>
    </xf>
    <xf numFmtId="0" fontId="11" fillId="0" borderId="0" xfId="17" applyFont="1" applyBorder="1" applyAlignment="1">
      <alignment vertical="center"/>
      <protection/>
    </xf>
    <xf numFmtId="217" fontId="27" fillId="0" borderId="0" xfId="20" applyNumberFormat="1" applyFont="1" applyBorder="1" applyAlignment="1">
      <alignment vertical="center"/>
      <protection/>
    </xf>
    <xf numFmtId="179" fontId="11" fillId="0" borderId="2" xfId="20" applyNumberFormat="1" applyFont="1" applyBorder="1" applyAlignment="1">
      <alignment horizontal="right" vertical="center"/>
      <protection/>
    </xf>
    <xf numFmtId="179" fontId="11" fillId="0" borderId="3" xfId="20" applyNumberFormat="1" applyFont="1" applyBorder="1" applyAlignment="1">
      <alignment horizontal="right" vertical="center"/>
      <protection/>
    </xf>
    <xf numFmtId="179" fontId="11" fillId="0" borderId="3" xfId="17" applyNumberFormat="1" applyFont="1" applyBorder="1" applyAlignment="1">
      <alignment vertical="center"/>
      <protection/>
    </xf>
    <xf numFmtId="179" fontId="11" fillId="0" borderId="4" xfId="17" applyNumberFormat="1" applyFont="1" applyBorder="1" applyAlignment="1">
      <alignment vertical="center"/>
      <protection/>
    </xf>
    <xf numFmtId="0" fontId="22" fillId="0" borderId="20" xfId="0" applyFont="1" applyBorder="1" applyAlignment="1">
      <alignment horizontal="center" vertical="center" wrapText="1"/>
    </xf>
    <xf numFmtId="0" fontId="11" fillId="0" borderId="0" xfId="15" applyFont="1" applyBorder="1" applyAlignment="1">
      <alignment horizontal="left" vertical="center" wrapText="1"/>
      <protection/>
    </xf>
    <xf numFmtId="179" fontId="11" fillId="0" borderId="2" xfId="15" applyNumberFormat="1" applyFont="1" applyBorder="1" applyAlignment="1">
      <alignment vertical="center"/>
      <protection/>
    </xf>
    <xf numFmtId="179" fontId="11" fillId="0" borderId="3" xfId="15" applyNumberFormat="1" applyFont="1" applyBorder="1" applyAlignment="1">
      <alignment vertical="center"/>
      <protection/>
    </xf>
    <xf numFmtId="179" fontId="11" fillId="0" borderId="3" xfId="0" applyNumberFormat="1" applyFont="1" applyBorder="1" applyAlignment="1">
      <alignment vertical="center"/>
    </xf>
    <xf numFmtId="179" fontId="11" fillId="0" borderId="4" xfId="0" applyNumberFormat="1" applyFont="1" applyBorder="1" applyAlignment="1">
      <alignment vertical="center"/>
    </xf>
    <xf numFmtId="0" fontId="11" fillId="0" borderId="0" xfId="0" applyFont="1" applyBorder="1" applyAlignment="1">
      <alignment vertical="center"/>
    </xf>
    <xf numFmtId="179" fontId="11" fillId="0" borderId="3" xfId="15" applyNumberFormat="1" applyFont="1" applyFill="1" applyBorder="1" applyAlignment="1">
      <alignment vertical="center"/>
      <protection/>
    </xf>
    <xf numFmtId="179" fontId="11" fillId="0" borderId="4" xfId="0" applyNumberFormat="1" applyFont="1" applyFill="1" applyBorder="1" applyAlignment="1">
      <alignment vertical="center"/>
    </xf>
    <xf numFmtId="0" fontId="11" fillId="0" borderId="12" xfId="15" applyFont="1" applyBorder="1" applyAlignment="1">
      <alignment horizontal="left" vertical="center" wrapText="1"/>
      <protection/>
    </xf>
    <xf numFmtId="179" fontId="11" fillId="0" borderId="6" xfId="15" applyNumberFormat="1" applyFont="1" applyBorder="1" applyAlignment="1">
      <alignment vertical="center"/>
      <protection/>
    </xf>
    <xf numFmtId="179" fontId="11" fillId="0" borderId="7" xfId="15" applyNumberFormat="1" applyFont="1" applyBorder="1" applyAlignment="1">
      <alignment vertical="center"/>
      <protection/>
    </xf>
    <xf numFmtId="179" fontId="11" fillId="0" borderId="7" xfId="15" applyNumberFormat="1" applyFont="1" applyFill="1" applyBorder="1" applyAlignment="1">
      <alignment vertical="center"/>
      <protection/>
    </xf>
    <xf numFmtId="179" fontId="11" fillId="0" borderId="7" xfId="0" applyNumberFormat="1" applyFont="1" applyBorder="1" applyAlignment="1">
      <alignment vertical="center"/>
    </xf>
    <xf numFmtId="179" fontId="11" fillId="0" borderId="9" xfId="0" applyNumberFormat="1" applyFont="1" applyFill="1" applyBorder="1" applyAlignment="1">
      <alignment vertical="center"/>
    </xf>
    <xf numFmtId="0" fontId="28" fillId="0" borderId="0" xfId="15" applyFont="1" applyBorder="1" applyAlignment="1">
      <alignment horizontal="left" vertical="center"/>
      <protection/>
    </xf>
    <xf numFmtId="217" fontId="11" fillId="0" borderId="0" xfId="15" applyNumberFormat="1" applyFont="1" applyBorder="1" applyAlignment="1">
      <alignment vertical="center"/>
      <protection/>
    </xf>
    <xf numFmtId="2" fontId="11" fillId="0" borderId="0" xfId="0" applyNumberFormat="1" applyFont="1" applyBorder="1" applyAlignment="1">
      <alignment vertical="center"/>
    </xf>
    <xf numFmtId="0" fontId="28" fillId="0" borderId="0" xfId="0" applyFont="1" applyBorder="1" applyAlignment="1">
      <alignment horizontal="right" vertical="center"/>
    </xf>
    <xf numFmtId="0" fontId="24" fillId="0" borderId="0" xfId="0" applyFont="1" applyAlignment="1">
      <alignment horizontal="center" vertical="center"/>
    </xf>
    <xf numFmtId="0" fontId="28" fillId="0" borderId="0" xfId="0" applyFont="1" applyAlignment="1">
      <alignment horizontal="left" vertical="center"/>
    </xf>
    <xf numFmtId="0" fontId="28" fillId="0" borderId="5" xfId="0" applyFont="1" applyBorder="1" applyAlignment="1">
      <alignment horizontal="right" vertical="center"/>
    </xf>
    <xf numFmtId="179" fontId="8" fillId="0" borderId="3" xfId="0" applyNumberFormat="1" applyFont="1" applyBorder="1" applyAlignment="1">
      <alignment horizontal="right" vertical="center"/>
    </xf>
    <xf numFmtId="179" fontId="8" fillId="0" borderId="1" xfId="0" applyNumberFormat="1" applyFont="1" applyBorder="1" applyAlignment="1">
      <alignment horizontal="right" vertical="center"/>
    </xf>
    <xf numFmtId="179" fontId="8" fillId="0" borderId="4" xfId="0" applyNumberFormat="1" applyFont="1" applyBorder="1" applyAlignment="1">
      <alignment horizontal="right" vertical="center"/>
    </xf>
    <xf numFmtId="179" fontId="8" fillId="0" borderId="7" xfId="0" applyNumberFormat="1" applyFont="1" applyBorder="1" applyAlignment="1">
      <alignment horizontal="right" vertical="center"/>
    </xf>
    <xf numFmtId="0" fontId="26" fillId="0" borderId="16"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24" xfId="0" applyFont="1" applyBorder="1" applyAlignment="1">
      <alignment horizontal="center" vertical="center" wrapText="1"/>
    </xf>
    <xf numFmtId="179" fontId="23" fillId="0" borderId="3" xfId="0" applyNumberFormat="1" applyFont="1" applyBorder="1" applyAlignment="1">
      <alignment horizontal="right" vertical="center"/>
    </xf>
    <xf numFmtId="179" fontId="23" fillId="0" borderId="1" xfId="0" applyNumberFormat="1" applyFont="1" applyBorder="1" applyAlignment="1">
      <alignment horizontal="right" vertical="center"/>
    </xf>
    <xf numFmtId="179" fontId="23" fillId="0" borderId="7" xfId="0" applyNumberFormat="1" applyFont="1" applyBorder="1" applyAlignment="1">
      <alignment horizontal="right" vertical="center"/>
    </xf>
    <xf numFmtId="179" fontId="23" fillId="0" borderId="8" xfId="0" applyNumberFormat="1" applyFont="1" applyBorder="1" applyAlignment="1">
      <alignment horizontal="right" vertical="center"/>
    </xf>
    <xf numFmtId="179" fontId="26" fillId="0" borderId="3" xfId="0" applyNumberFormat="1" applyFont="1" applyBorder="1" applyAlignment="1">
      <alignment horizontal="right" vertical="center"/>
    </xf>
    <xf numFmtId="179" fontId="26" fillId="0" borderId="1" xfId="0" applyNumberFormat="1" applyFont="1" applyBorder="1" applyAlignment="1">
      <alignment horizontal="right" vertical="center"/>
    </xf>
    <xf numFmtId="179" fontId="26" fillId="0" borderId="7" xfId="0" applyNumberFormat="1" applyFont="1" applyBorder="1" applyAlignment="1">
      <alignment horizontal="right" vertical="center"/>
    </xf>
    <xf numFmtId="179" fontId="26" fillId="0" borderId="8" xfId="0" applyNumberFormat="1" applyFont="1" applyBorder="1" applyAlignment="1">
      <alignment horizontal="right" vertical="center"/>
    </xf>
    <xf numFmtId="49" fontId="28" fillId="0" borderId="0" xfId="0" applyNumberFormat="1" applyFont="1" applyBorder="1" applyAlignment="1">
      <alignment vertical="center"/>
    </xf>
    <xf numFmtId="49" fontId="11" fillId="0" borderId="0" xfId="0" applyNumberFormat="1" applyFont="1" applyBorder="1" applyAlignment="1" quotePrefix="1">
      <alignment vertical="center"/>
    </xf>
    <xf numFmtId="49" fontId="11" fillId="0" borderId="0" xfId="0" applyNumberFormat="1" applyFont="1" applyFill="1" applyBorder="1" applyAlignment="1">
      <alignment vertical="center"/>
    </xf>
    <xf numFmtId="49" fontId="11" fillId="0" borderId="0" xfId="0" applyNumberFormat="1" applyFont="1" applyAlignment="1">
      <alignment horizontal="left" vertical="center"/>
    </xf>
    <xf numFmtId="49" fontId="28" fillId="0" borderId="0" xfId="0" applyNumberFormat="1" applyFont="1" applyBorder="1" applyAlignment="1">
      <alignment horizontal="left" vertical="center"/>
    </xf>
    <xf numFmtId="49" fontId="11" fillId="0" borderId="0" xfId="0" applyNumberFormat="1" applyFont="1" applyFill="1" applyAlignment="1">
      <alignment vertical="center"/>
    </xf>
    <xf numFmtId="49" fontId="11" fillId="0" borderId="0" xfId="0" applyNumberFormat="1" applyFont="1" applyAlignment="1">
      <alignment horizontal="center" vertical="center"/>
    </xf>
    <xf numFmtId="49" fontId="11" fillId="0" borderId="0" xfId="0" applyNumberFormat="1" applyFont="1" applyBorder="1" applyAlignment="1">
      <alignment vertical="center"/>
    </xf>
    <xf numFmtId="49" fontId="28" fillId="0" borderId="0" xfId="0" applyNumberFormat="1" applyFont="1" applyFill="1" applyAlignment="1">
      <alignment vertical="center"/>
    </xf>
    <xf numFmtId="49" fontId="11" fillId="0" borderId="0" xfId="0" applyNumberFormat="1" applyFont="1" applyAlignment="1">
      <alignment vertical="center"/>
    </xf>
    <xf numFmtId="179" fontId="22" fillId="0" borderId="3" xfId="0" applyNumberFormat="1" applyFont="1" applyBorder="1" applyAlignment="1">
      <alignment horizontal="right" vertical="center"/>
    </xf>
    <xf numFmtId="179" fontId="22" fillId="0" borderId="4" xfId="0" applyNumberFormat="1" applyFont="1" applyBorder="1" applyAlignment="1">
      <alignment horizontal="right" vertical="center"/>
    </xf>
    <xf numFmtId="179" fontId="22" fillId="0" borderId="1" xfId="0" applyNumberFormat="1" applyFont="1" applyBorder="1" applyAlignment="1">
      <alignment horizontal="right" vertical="center"/>
    </xf>
    <xf numFmtId="179" fontId="22" fillId="0" borderId="7" xfId="0" applyNumberFormat="1" applyFont="1" applyBorder="1" applyAlignment="1">
      <alignment horizontal="right" vertical="center"/>
    </xf>
    <xf numFmtId="179" fontId="22" fillId="0" borderId="8" xfId="0" applyNumberFormat="1" applyFont="1" applyBorder="1" applyAlignment="1">
      <alignment horizontal="right" vertical="center"/>
    </xf>
    <xf numFmtId="179" fontId="22" fillId="0" borderId="9" xfId="0" applyNumberFormat="1" applyFont="1" applyBorder="1" applyAlignment="1">
      <alignment horizontal="right" vertical="center"/>
    </xf>
    <xf numFmtId="0" fontId="22" fillId="0" borderId="20"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4" xfId="0" applyFont="1" applyBorder="1" applyAlignment="1">
      <alignment horizontal="center" vertical="center" wrapText="1"/>
    </xf>
    <xf numFmtId="0" fontId="23" fillId="0" borderId="15" xfId="0" applyFont="1" applyBorder="1" applyAlignment="1">
      <alignment horizontal="center" vertical="center"/>
    </xf>
    <xf numFmtId="0" fontId="23" fillId="0" borderId="10" xfId="0" applyFont="1" applyBorder="1" applyAlignment="1">
      <alignment horizontal="center" vertical="center"/>
    </xf>
    <xf numFmtId="0" fontId="23" fillId="0" borderId="10"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4" xfId="0" applyFont="1" applyBorder="1" applyAlignment="1">
      <alignment horizontal="center" vertical="center"/>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19" fillId="0" borderId="11" xfId="0" applyFont="1" applyBorder="1" applyAlignment="1">
      <alignment horizontal="left" vertical="center" wrapText="1"/>
    </xf>
    <xf numFmtId="0" fontId="30" fillId="0" borderId="0" xfId="0" applyFont="1" applyAlignment="1">
      <alignment vertical="center"/>
    </xf>
    <xf numFmtId="0" fontId="30" fillId="0" borderId="5" xfId="0" applyFont="1" applyBorder="1" applyAlignment="1">
      <alignment horizontal="right" vertical="center"/>
    </xf>
    <xf numFmtId="179" fontId="8" fillId="0" borderId="2" xfId="0" applyNumberFormat="1" applyFont="1" applyBorder="1" applyAlignment="1">
      <alignment horizontal="right" vertical="center"/>
    </xf>
    <xf numFmtId="179" fontId="8" fillId="0" borderId="3" xfId="0" applyNumberFormat="1" applyFont="1" applyBorder="1" applyAlignment="1" quotePrefix="1">
      <alignment horizontal="right" vertical="center"/>
    </xf>
    <xf numFmtId="179" fontId="8" fillId="0" borderId="6" xfId="0" applyNumberFormat="1" applyFont="1" applyBorder="1" applyAlignment="1">
      <alignment horizontal="right" vertical="center"/>
    </xf>
    <xf numFmtId="179" fontId="8" fillId="0" borderId="7" xfId="0" applyNumberFormat="1" applyFont="1" applyBorder="1" applyAlignment="1" quotePrefix="1">
      <alignment horizontal="right" vertical="center"/>
    </xf>
    <xf numFmtId="179" fontId="8" fillId="0" borderId="9" xfId="0" applyNumberFormat="1" applyFont="1" applyBorder="1" applyAlignment="1">
      <alignment horizontal="right" vertical="center"/>
    </xf>
    <xf numFmtId="179" fontId="4" fillId="0" borderId="4" xfId="0" applyNumberFormat="1" applyFont="1" applyFill="1" applyBorder="1" applyAlignment="1">
      <alignment horizontal="right" vertical="center"/>
    </xf>
    <xf numFmtId="0" fontId="22" fillId="0" borderId="15" xfId="0" applyFont="1" applyBorder="1" applyAlignment="1">
      <alignment horizontal="center" vertical="center"/>
    </xf>
    <xf numFmtId="0" fontId="22" fillId="0" borderId="10" xfId="0" applyFont="1" applyBorder="1" applyAlignment="1">
      <alignment horizontal="center" vertical="center"/>
    </xf>
    <xf numFmtId="0" fontId="22" fillId="0" borderId="24" xfId="0" applyFont="1" applyBorder="1" applyAlignment="1">
      <alignment horizontal="center" vertical="center"/>
    </xf>
    <xf numFmtId="0" fontId="25" fillId="0" borderId="0" xfId="0" applyFont="1" applyAlignment="1">
      <alignment vertical="center"/>
    </xf>
    <xf numFmtId="0" fontId="26" fillId="0" borderId="16" xfId="0" applyFont="1" applyBorder="1" applyAlignment="1">
      <alignment horizontal="center" vertical="center"/>
    </xf>
    <xf numFmtId="0" fontId="26" fillId="0" borderId="10" xfId="0" applyFont="1" applyBorder="1" applyAlignment="1">
      <alignment horizontal="center" vertical="center"/>
    </xf>
    <xf numFmtId="179" fontId="26" fillId="0" borderId="1" xfId="0" applyNumberFormat="1" applyFont="1" applyFill="1" applyBorder="1" applyAlignment="1">
      <alignment horizontal="right" vertical="center"/>
    </xf>
    <xf numFmtId="0" fontId="22" fillId="0" borderId="25" xfId="0" applyFont="1" applyBorder="1" applyAlignment="1">
      <alignment horizontal="distributed" vertical="center"/>
    </xf>
    <xf numFmtId="0" fontId="26" fillId="0" borderId="15" xfId="0" applyFont="1" applyBorder="1" applyAlignment="1">
      <alignment horizontal="center" vertical="center" wrapText="1"/>
    </xf>
    <xf numFmtId="179" fontId="11" fillId="0" borderId="1" xfId="0" applyNumberFormat="1" applyFont="1" applyBorder="1" applyAlignment="1">
      <alignment vertical="center"/>
    </xf>
    <xf numFmtId="179" fontId="11" fillId="0" borderId="8" xfId="0" applyNumberFormat="1" applyFont="1" applyBorder="1" applyAlignment="1">
      <alignment vertical="center"/>
    </xf>
    <xf numFmtId="179" fontId="11" fillId="0" borderId="7" xfId="0" applyNumberFormat="1" applyFont="1" applyBorder="1" applyAlignment="1" quotePrefix="1">
      <alignment horizontal="right" vertical="center"/>
    </xf>
    <xf numFmtId="179" fontId="11" fillId="0" borderId="9" xfId="0" applyNumberFormat="1" applyFont="1" applyBorder="1" applyAlignment="1">
      <alignment vertical="center"/>
    </xf>
    <xf numFmtId="0" fontId="22" fillId="0" borderId="16" xfId="0" applyFont="1" applyBorder="1" applyAlignment="1">
      <alignment horizontal="center" vertical="center"/>
    </xf>
    <xf numFmtId="179" fontId="4" fillId="0" borderId="9" xfId="0" applyNumberFormat="1" applyFont="1" applyBorder="1" applyAlignment="1">
      <alignment vertical="center"/>
    </xf>
    <xf numFmtId="0" fontId="22" fillId="0" borderId="15" xfId="0" applyFont="1" applyBorder="1" applyAlignment="1">
      <alignment horizontal="center" vertical="center" wrapText="1"/>
    </xf>
    <xf numFmtId="0" fontId="22" fillId="0" borderId="11" xfId="0" applyFont="1" applyBorder="1" applyAlignment="1">
      <alignment horizontal="center" vertical="center"/>
    </xf>
    <xf numFmtId="218" fontId="22" fillId="0" borderId="3" xfId="0" applyNumberFormat="1" applyFont="1" applyBorder="1" applyAlignment="1">
      <alignment horizontal="right" vertical="center"/>
    </xf>
    <xf numFmtId="0" fontId="25" fillId="0" borderId="0" xfId="0" applyFont="1" applyAlignment="1">
      <alignment horizontal="right" vertical="center"/>
    </xf>
    <xf numFmtId="179" fontId="4" fillId="0" borderId="2" xfId="0" applyNumberFormat="1" applyFont="1" applyBorder="1" applyAlignment="1">
      <alignment vertical="center"/>
    </xf>
    <xf numFmtId="179" fontId="4" fillId="0" borderId="3" xfId="0" applyNumberFormat="1" applyFont="1" applyBorder="1" applyAlignment="1">
      <alignment vertical="center"/>
    </xf>
    <xf numFmtId="179" fontId="4" fillId="0" borderId="1" xfId="0" applyNumberFormat="1" applyFont="1" applyBorder="1" applyAlignment="1">
      <alignment vertical="center"/>
    </xf>
    <xf numFmtId="179" fontId="4" fillId="0" borderId="6" xfId="0" applyNumberFormat="1" applyFont="1" applyBorder="1" applyAlignment="1">
      <alignment vertical="center"/>
    </xf>
    <xf numFmtId="179" fontId="4" fillId="0" borderId="7" xfId="0" applyNumberFormat="1" applyFont="1" applyBorder="1" applyAlignment="1">
      <alignment vertical="center"/>
    </xf>
    <xf numFmtId="183" fontId="4" fillId="0" borderId="3" xfId="0" applyNumberFormat="1" applyFont="1" applyBorder="1" applyAlignment="1">
      <alignment vertical="center"/>
    </xf>
    <xf numFmtId="183" fontId="4" fillId="0" borderId="3" xfId="0" applyNumberFormat="1" applyFont="1" applyFill="1" applyBorder="1" applyAlignment="1">
      <alignment vertical="center"/>
    </xf>
    <xf numFmtId="183" fontId="4" fillId="0" borderId="7" xfId="0" applyNumberFormat="1" applyFont="1" applyBorder="1" applyAlignment="1">
      <alignment vertical="center"/>
    </xf>
    <xf numFmtId="179" fontId="4" fillId="0" borderId="3" xfId="0" applyNumberFormat="1" applyFont="1" applyFill="1" applyBorder="1" applyAlignment="1">
      <alignment vertical="center"/>
    </xf>
    <xf numFmtId="179" fontId="4" fillId="0" borderId="7" xfId="0" applyNumberFormat="1" applyFont="1" applyFill="1" applyBorder="1" applyAlignment="1">
      <alignment vertical="center"/>
    </xf>
    <xf numFmtId="183" fontId="4" fillId="0" borderId="4" xfId="0" applyNumberFormat="1" applyFont="1" applyFill="1" applyBorder="1" applyAlignment="1">
      <alignment vertical="center"/>
    </xf>
    <xf numFmtId="183" fontId="4" fillId="0" borderId="9" xfId="0" applyNumberFormat="1" applyFont="1" applyFill="1" applyBorder="1" applyAlignment="1">
      <alignment vertical="center"/>
    </xf>
    <xf numFmtId="0" fontId="22" fillId="0" borderId="14"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208" fontId="22" fillId="0" borderId="11" xfId="0" applyNumberFormat="1" applyFont="1" applyBorder="1" applyAlignment="1">
      <alignment horizontal="center" vertical="center" wrapText="1"/>
    </xf>
    <xf numFmtId="208" fontId="25" fillId="0" borderId="0" xfId="0" applyNumberFormat="1" applyFont="1" applyAlignment="1">
      <alignment vertical="center"/>
    </xf>
    <xf numFmtId="0" fontId="25" fillId="0" borderId="0" xfId="0" applyFont="1" applyFill="1" applyBorder="1" applyAlignment="1">
      <alignment horizontal="left" vertical="center"/>
    </xf>
    <xf numFmtId="0" fontId="25" fillId="0" borderId="0" xfId="0" applyFont="1" applyBorder="1" applyAlignment="1">
      <alignment horizontal="right" vertical="center"/>
    </xf>
    <xf numFmtId="0" fontId="22" fillId="0" borderId="3" xfId="0" applyFont="1" applyBorder="1" applyAlignment="1">
      <alignment horizontal="center" vertical="center"/>
    </xf>
    <xf numFmtId="0" fontId="22" fillId="0" borderId="22" xfId="0" applyFont="1" applyBorder="1" applyAlignment="1">
      <alignment horizontal="center" vertical="center"/>
    </xf>
    <xf numFmtId="0" fontId="22" fillId="0" borderId="1" xfId="0" applyFont="1" applyBorder="1" applyAlignment="1">
      <alignment horizontal="center" vertical="center"/>
    </xf>
    <xf numFmtId="0" fontId="22" fillId="0" borderId="3" xfId="0" applyFont="1" applyBorder="1" applyAlignment="1">
      <alignment horizontal="center" vertical="center" wrapText="1"/>
    </xf>
    <xf numFmtId="208" fontId="22" fillId="0" borderId="11" xfId="0" applyNumberFormat="1" applyFont="1" applyBorder="1" applyAlignment="1">
      <alignment horizontal="right" vertical="center" wrapText="1"/>
    </xf>
    <xf numFmtId="179" fontId="22" fillId="0" borderId="3" xfId="0" applyNumberFormat="1" applyFont="1" applyFill="1" applyBorder="1" applyAlignment="1">
      <alignment horizontal="right" vertical="center"/>
    </xf>
    <xf numFmtId="218" fontId="22" fillId="0" borderId="3" xfId="0" applyNumberFormat="1" applyFont="1" applyFill="1" applyBorder="1" applyAlignment="1">
      <alignment horizontal="right" vertical="center"/>
    </xf>
    <xf numFmtId="218" fontId="22" fillId="0" borderId="7" xfId="0" applyNumberFormat="1" applyFont="1" applyFill="1" applyBorder="1" applyAlignment="1">
      <alignment horizontal="right" vertical="center"/>
    </xf>
    <xf numFmtId="208" fontId="4" fillId="0" borderId="11" xfId="0" applyNumberFormat="1" applyFont="1" applyBorder="1" applyAlignment="1">
      <alignment horizontal="right" vertical="center" wrapText="1"/>
    </xf>
    <xf numFmtId="179" fontId="4" fillId="0" borderId="2" xfId="0" applyNumberFormat="1" applyFont="1" applyFill="1" applyBorder="1" applyAlignment="1" quotePrefix="1">
      <alignment horizontal="right" vertical="center"/>
    </xf>
    <xf numFmtId="179" fontId="4" fillId="0" borderId="3" xfId="0" applyNumberFormat="1" applyFont="1" applyFill="1" applyBorder="1" applyAlignment="1" quotePrefix="1">
      <alignment horizontal="right" vertical="center"/>
    </xf>
    <xf numFmtId="179" fontId="4" fillId="0" borderId="1" xfId="0" applyNumberFormat="1" applyFont="1" applyFill="1" applyBorder="1" applyAlignment="1">
      <alignment horizontal="right" vertical="center"/>
    </xf>
    <xf numFmtId="179" fontId="4" fillId="0" borderId="1" xfId="0" applyNumberFormat="1" applyFont="1" applyFill="1" applyBorder="1" applyAlignment="1" quotePrefix="1">
      <alignment horizontal="right" vertical="center"/>
    </xf>
    <xf numFmtId="179" fontId="4" fillId="0" borderId="8" xfId="0" applyNumberFormat="1" applyFont="1" applyFill="1" applyBorder="1" applyAlignment="1" quotePrefix="1">
      <alignment horizontal="right" vertical="center"/>
    </xf>
    <xf numFmtId="179" fontId="4" fillId="0" borderId="7" xfId="0" applyNumberFormat="1" applyFont="1" applyFill="1" applyBorder="1" applyAlignment="1" quotePrefix="1">
      <alignment horizontal="right" vertical="center"/>
    </xf>
    <xf numFmtId="179" fontId="4" fillId="0" borderId="7" xfId="0" applyNumberFormat="1" applyFont="1" applyFill="1" applyBorder="1" applyAlignment="1">
      <alignment horizontal="right" vertical="center"/>
    </xf>
    <xf numFmtId="179" fontId="4" fillId="0" borderId="8" xfId="0" applyNumberFormat="1" applyFont="1" applyFill="1" applyBorder="1" applyAlignment="1">
      <alignment horizontal="right" vertical="center"/>
    </xf>
    <xf numFmtId="179" fontId="22" fillId="0" borderId="1" xfId="0" applyNumberFormat="1" applyFont="1" applyFill="1" applyBorder="1" applyAlignment="1">
      <alignment horizontal="right" vertical="center"/>
    </xf>
    <xf numFmtId="179" fontId="22" fillId="0" borderId="7" xfId="0" applyNumberFormat="1" applyFont="1" applyFill="1" applyBorder="1" applyAlignment="1">
      <alignment horizontal="right" vertical="center"/>
    </xf>
    <xf numFmtId="0" fontId="28" fillId="0" borderId="0" xfId="0" applyFont="1" applyAlignment="1">
      <alignment vertical="center"/>
    </xf>
    <xf numFmtId="0" fontId="11" fillId="0" borderId="0" xfId="0" applyFont="1" applyAlignment="1">
      <alignment vertical="center"/>
    </xf>
    <xf numFmtId="0" fontId="28" fillId="0" borderId="0" xfId="0" applyFont="1" applyFill="1" applyAlignment="1">
      <alignment horizontal="left" vertical="center"/>
    </xf>
    <xf numFmtId="0" fontId="4" fillId="0" borderId="12" xfId="0" applyFont="1" applyBorder="1" applyAlignment="1">
      <alignment horizontal="left" vertical="center"/>
    </xf>
    <xf numFmtId="179" fontId="4" fillId="0" borderId="4" xfId="16" applyNumberFormat="1" applyFont="1" applyBorder="1" applyAlignment="1">
      <alignment horizontal="right" vertical="center"/>
      <protection/>
    </xf>
    <xf numFmtId="179" fontId="4" fillId="0" borderId="1" xfId="16" applyNumberFormat="1" applyFont="1" applyBorder="1" applyAlignment="1">
      <alignment horizontal="right" vertical="center"/>
      <protection/>
    </xf>
    <xf numFmtId="179" fontId="4" fillId="0" borderId="1" xfId="16" applyNumberFormat="1" applyFont="1" applyBorder="1" applyAlignment="1" quotePrefix="1">
      <alignment horizontal="right" vertical="center"/>
      <protection/>
    </xf>
    <xf numFmtId="179" fontId="4" fillId="0" borderId="4" xfId="16" applyNumberFormat="1" applyFont="1" applyBorder="1" applyAlignment="1" quotePrefix="1">
      <alignment horizontal="right" vertical="center"/>
      <protection/>
    </xf>
    <xf numFmtId="179" fontId="4" fillId="0" borderId="0" xfId="16" applyNumberFormat="1" applyFont="1" applyFill="1" applyBorder="1" applyAlignment="1" quotePrefix="1">
      <alignment horizontal="right" vertical="center"/>
      <protection/>
    </xf>
    <xf numFmtId="179" fontId="4" fillId="0" borderId="6" xfId="16" applyNumberFormat="1" applyFont="1" applyFill="1" applyBorder="1" applyAlignment="1" quotePrefix="1">
      <alignment horizontal="right" vertical="center"/>
      <protection/>
    </xf>
    <xf numFmtId="179" fontId="4" fillId="0" borderId="7" xfId="16" applyNumberFormat="1" applyFont="1" applyFill="1" applyBorder="1" applyAlignment="1" quotePrefix="1">
      <alignment horizontal="right" vertical="center"/>
      <protection/>
    </xf>
    <xf numFmtId="0" fontId="22" fillId="0" borderId="0" xfId="0" applyFont="1" applyBorder="1" applyAlignment="1">
      <alignment horizontal="center" vertical="center"/>
    </xf>
    <xf numFmtId="179" fontId="22" fillId="0" borderId="0" xfId="0" applyNumberFormat="1" applyFont="1" applyBorder="1" applyAlignment="1">
      <alignment horizontal="right" vertical="center"/>
    </xf>
    <xf numFmtId="179" fontId="22" fillId="0" borderId="9" xfId="16" applyNumberFormat="1" applyFont="1" applyBorder="1" applyAlignment="1">
      <alignment horizontal="right" vertical="center"/>
      <protection/>
    </xf>
    <xf numFmtId="179" fontId="22" fillId="0" borderId="10" xfId="0" applyNumberFormat="1" applyFont="1" applyBorder="1" applyAlignment="1">
      <alignment horizontal="right" vertical="center"/>
    </xf>
    <xf numFmtId="179" fontId="22" fillId="0" borderId="24" xfId="16" applyNumberFormat="1" applyFont="1" applyBorder="1" applyAlignment="1">
      <alignment horizontal="right" vertical="center"/>
      <protection/>
    </xf>
    <xf numFmtId="179" fontId="22" fillId="0" borderId="4" xfId="16" applyNumberFormat="1" applyFont="1" applyBorder="1" applyAlignment="1">
      <alignment horizontal="right" vertical="center"/>
      <protection/>
    </xf>
    <xf numFmtId="179" fontId="22" fillId="0" borderId="3" xfId="16" applyNumberFormat="1" applyFont="1" applyBorder="1" applyAlignment="1">
      <alignment horizontal="right" vertical="center"/>
      <protection/>
    </xf>
    <xf numFmtId="179" fontId="22" fillId="0" borderId="1" xfId="16" applyNumberFormat="1" applyFont="1" applyBorder="1" applyAlignment="1">
      <alignment horizontal="right" vertical="center"/>
      <protection/>
    </xf>
    <xf numFmtId="3" fontId="22" fillId="0" borderId="0" xfId="16" applyNumberFormat="1" applyFont="1" applyBorder="1" applyAlignment="1" quotePrefix="1">
      <alignment horizontal="left" vertical="center"/>
      <protection/>
    </xf>
    <xf numFmtId="179" fontId="22" fillId="0" borderId="2" xfId="16" applyNumberFormat="1" applyFont="1" applyBorder="1" applyAlignment="1">
      <alignment horizontal="right" vertical="center"/>
      <protection/>
    </xf>
    <xf numFmtId="3" fontId="22" fillId="0" borderId="5" xfId="16" applyNumberFormat="1" applyFont="1" applyFill="1" applyBorder="1" applyAlignment="1" quotePrefix="1">
      <alignment horizontal="left" vertical="center"/>
      <protection/>
    </xf>
    <xf numFmtId="179" fontId="22" fillId="0" borderId="7" xfId="16" applyNumberFormat="1" applyFont="1" applyFill="1" applyBorder="1" applyAlignment="1">
      <alignment horizontal="right" vertical="center"/>
      <protection/>
    </xf>
    <xf numFmtId="179" fontId="22" fillId="0" borderId="8" xfId="16" applyNumberFormat="1" applyFont="1" applyFill="1" applyBorder="1" applyAlignment="1">
      <alignment horizontal="right" vertical="center"/>
      <protection/>
    </xf>
    <xf numFmtId="179" fontId="22" fillId="0" borderId="9" xfId="16" applyNumberFormat="1" applyFont="1" applyFill="1" applyBorder="1" applyAlignment="1">
      <alignment horizontal="right" vertical="center"/>
      <protection/>
    </xf>
    <xf numFmtId="179" fontId="4" fillId="0" borderId="0" xfId="0" applyNumberFormat="1" applyFont="1" applyAlignment="1">
      <alignment horizontal="right" vertical="center"/>
    </xf>
    <xf numFmtId="3" fontId="25" fillId="0" borderId="0" xfId="16" applyNumberFormat="1" applyFont="1" applyAlignment="1">
      <alignment horizontal="left" vertical="center"/>
      <protection/>
    </xf>
    <xf numFmtId="3" fontId="25" fillId="0" borderId="0" xfId="16" applyNumberFormat="1" applyFont="1">
      <alignment vertical="center"/>
      <protection/>
    </xf>
    <xf numFmtId="0" fontId="23" fillId="0" borderId="13" xfId="0" applyFont="1" applyBorder="1" applyAlignment="1">
      <alignment horizontal="center" vertical="center"/>
    </xf>
    <xf numFmtId="0" fontId="23" fillId="0" borderId="22" xfId="0" applyFont="1" applyBorder="1" applyAlignment="1">
      <alignment horizontal="center" vertical="center" wrapText="1"/>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23" fillId="0" borderId="3" xfId="0" applyFont="1" applyBorder="1" applyAlignment="1">
      <alignment horizontal="center" vertical="center"/>
    </xf>
    <xf numFmtId="0" fontId="23" fillId="0" borderId="3" xfId="0" applyFont="1" applyBorder="1" applyAlignment="1">
      <alignment horizontal="center" vertical="center" wrapText="1"/>
    </xf>
    <xf numFmtId="0" fontId="23" fillId="0" borderId="8" xfId="0" applyFont="1" applyBorder="1" applyAlignment="1">
      <alignment horizontal="center" vertical="center" wrapText="1"/>
    </xf>
    <xf numFmtId="208" fontId="23" fillId="0" borderId="11" xfId="0" applyNumberFormat="1" applyFont="1" applyBorder="1" applyAlignment="1">
      <alignment horizontal="right" vertical="center" wrapText="1"/>
    </xf>
    <xf numFmtId="188" fontId="23" fillId="0" borderId="1" xfId="0" applyNumberFormat="1" applyFont="1" applyBorder="1" applyAlignment="1">
      <alignment horizontal="right" vertical="center"/>
    </xf>
    <xf numFmtId="188" fontId="23" fillId="0" borderId="3" xfId="0" applyNumberFormat="1" applyFont="1" applyBorder="1" applyAlignment="1">
      <alignment horizontal="right" vertical="center"/>
    </xf>
    <xf numFmtId="188" fontId="23" fillId="0" borderId="4" xfId="0" applyNumberFormat="1" applyFont="1" applyBorder="1" applyAlignment="1">
      <alignment horizontal="right" vertical="center"/>
    </xf>
    <xf numFmtId="188" fontId="23" fillId="0" borderId="8" xfId="0" applyNumberFormat="1" applyFont="1" applyBorder="1" applyAlignment="1">
      <alignment horizontal="right" vertical="center"/>
    </xf>
    <xf numFmtId="188" fontId="23" fillId="0" borderId="7" xfId="0" applyNumberFormat="1" applyFont="1" applyBorder="1" applyAlignment="1">
      <alignment horizontal="right" vertical="center"/>
    </xf>
    <xf numFmtId="0" fontId="30" fillId="0" borderId="0" xfId="0" applyFont="1" applyBorder="1" applyAlignment="1">
      <alignment horizontal="left" vertical="center"/>
    </xf>
    <xf numFmtId="0" fontId="30" fillId="0" borderId="0" xfId="0" applyFont="1" applyAlignment="1">
      <alignment horizontal="left" vertical="center"/>
    </xf>
    <xf numFmtId="0" fontId="31" fillId="0" borderId="0" xfId="0" applyFont="1" applyAlignment="1">
      <alignment horizontal="center" vertical="center"/>
    </xf>
    <xf numFmtId="0" fontId="32" fillId="0" borderId="0" xfId="0" applyFont="1" applyAlignment="1">
      <alignment horizontal="center" vertical="center"/>
    </xf>
    <xf numFmtId="0" fontId="31" fillId="0" borderId="0" xfId="0" applyFont="1" applyAlignment="1">
      <alignment vertical="center"/>
    </xf>
    <xf numFmtId="0" fontId="23" fillId="0" borderId="11" xfId="0" applyFont="1" applyBorder="1" applyAlignment="1">
      <alignment horizontal="center"/>
    </xf>
    <xf numFmtId="0" fontId="23" fillId="0" borderId="26" xfId="0" applyFont="1" applyBorder="1" applyAlignment="1">
      <alignment horizontal="center" vertical="center" wrapText="1"/>
    </xf>
    <xf numFmtId="188" fontId="4" fillId="0" borderId="3" xfId="16" applyNumberFormat="1" applyFont="1" applyBorder="1" applyAlignment="1">
      <alignment horizontal="right" vertical="center"/>
      <protection/>
    </xf>
    <xf numFmtId="188" fontId="8" fillId="0" borderId="3" xfId="16" applyNumberFormat="1" applyFont="1" applyBorder="1" applyAlignment="1">
      <alignment horizontal="right" vertical="center"/>
      <protection/>
    </xf>
    <xf numFmtId="188" fontId="22" fillId="0" borderId="3" xfId="16" applyNumberFormat="1" applyFont="1" applyBorder="1" applyAlignment="1">
      <alignment horizontal="right" vertical="center"/>
      <protection/>
    </xf>
    <xf numFmtId="188" fontId="23" fillId="0" borderId="3" xfId="16" applyNumberFormat="1" applyFont="1" applyBorder="1" applyAlignment="1">
      <alignment horizontal="right" vertical="center"/>
      <protection/>
    </xf>
    <xf numFmtId="188" fontId="22" fillId="0" borderId="7" xfId="16" applyNumberFormat="1" applyFont="1" applyBorder="1" applyAlignment="1">
      <alignment horizontal="right" vertical="center"/>
      <protection/>
    </xf>
    <xf numFmtId="188" fontId="23" fillId="0" borderId="7" xfId="16" applyNumberFormat="1" applyFont="1" applyBorder="1" applyAlignment="1">
      <alignment horizontal="right" vertical="center"/>
      <protection/>
    </xf>
    <xf numFmtId="188" fontId="8" fillId="0" borderId="4" xfId="16" applyNumberFormat="1" applyFont="1" applyBorder="1" applyAlignment="1">
      <alignment horizontal="right" vertical="center"/>
      <protection/>
    </xf>
    <xf numFmtId="188" fontId="22" fillId="0" borderId="1" xfId="16" applyNumberFormat="1" applyFont="1" applyBorder="1" applyAlignment="1">
      <alignment horizontal="right" vertical="center"/>
      <protection/>
    </xf>
    <xf numFmtId="179" fontId="17" fillId="0" borderId="1" xfId="0" applyNumberFormat="1" applyFont="1" applyBorder="1" applyAlignment="1">
      <alignment horizontal="right" vertical="center"/>
    </xf>
    <xf numFmtId="179" fontId="4" fillId="0" borderId="0" xfId="0" applyNumberFormat="1" applyFont="1" applyBorder="1" applyAlignment="1" quotePrefix="1">
      <alignment horizontal="right" vertical="center"/>
    </xf>
    <xf numFmtId="179" fontId="4" fillId="0" borderId="4" xfId="0" applyNumberFormat="1" applyFont="1" applyBorder="1" applyAlignment="1" quotePrefix="1">
      <alignment horizontal="right" vertical="center"/>
    </xf>
    <xf numFmtId="179" fontId="17" fillId="0" borderId="8" xfId="0" applyNumberFormat="1" applyFont="1" applyBorder="1" applyAlignment="1">
      <alignment horizontal="right" vertical="center"/>
    </xf>
    <xf numFmtId="179" fontId="4" fillId="0" borderId="5" xfId="0" applyNumberFormat="1" applyFont="1" applyBorder="1" applyAlignment="1" quotePrefix="1">
      <alignment horizontal="right" vertical="center"/>
    </xf>
    <xf numFmtId="179" fontId="4" fillId="0" borderId="9" xfId="0" applyNumberFormat="1" applyFont="1" applyBorder="1" applyAlignment="1" quotePrefix="1">
      <alignment horizontal="right" vertical="center"/>
    </xf>
    <xf numFmtId="0" fontId="26" fillId="0" borderId="24" xfId="0" applyFont="1" applyBorder="1" applyAlignment="1">
      <alignment horizontal="center" vertical="center"/>
    </xf>
    <xf numFmtId="179" fontId="33" fillId="0" borderId="3" xfId="0" applyNumberFormat="1" applyFont="1" applyBorder="1" applyAlignment="1">
      <alignment horizontal="right" vertical="center"/>
    </xf>
    <xf numFmtId="0" fontId="31" fillId="0" borderId="0" xfId="0" applyFont="1" applyAlignment="1">
      <alignment horizontal="right" vertical="center"/>
    </xf>
    <xf numFmtId="0" fontId="28" fillId="0" borderId="0" xfId="0" applyFont="1" applyAlignment="1">
      <alignment/>
    </xf>
    <xf numFmtId="179" fontId="4" fillId="0" borderId="0" xfId="0" applyNumberFormat="1" applyFont="1" applyBorder="1" applyAlignment="1">
      <alignment vertical="center"/>
    </xf>
    <xf numFmtId="179" fontId="4" fillId="0" borderId="8" xfId="0" applyNumberFormat="1" applyFont="1" applyBorder="1" applyAlignment="1">
      <alignment vertical="center"/>
    </xf>
    <xf numFmtId="179" fontId="4" fillId="0" borderId="5" xfId="0" applyNumberFormat="1" applyFont="1" applyBorder="1" applyAlignment="1">
      <alignment vertical="center"/>
    </xf>
    <xf numFmtId="179" fontId="17" fillId="0" borderId="2" xfId="0" applyNumberFormat="1" applyFont="1" applyBorder="1" applyAlignment="1">
      <alignment horizontal="right" vertical="center"/>
    </xf>
    <xf numFmtId="179" fontId="17" fillId="0" borderId="6" xfId="0" applyNumberFormat="1" applyFont="1" applyBorder="1" applyAlignment="1">
      <alignment horizontal="right" vertical="center"/>
    </xf>
    <xf numFmtId="188" fontId="22" fillId="0" borderId="1" xfId="0" applyNumberFormat="1" applyFont="1" applyBorder="1" applyAlignment="1">
      <alignment horizontal="right" vertical="center"/>
    </xf>
    <xf numFmtId="199" fontId="22" fillId="0" borderId="24" xfId="0" applyNumberFormat="1" applyFont="1" applyBorder="1" applyAlignment="1">
      <alignment horizontal="right" vertical="center"/>
    </xf>
    <xf numFmtId="188" fontId="22" fillId="0" borderId="3" xfId="0" applyNumberFormat="1" applyFont="1" applyBorder="1" applyAlignment="1">
      <alignment horizontal="right" vertical="center"/>
    </xf>
    <xf numFmtId="188" fontId="22" fillId="0" borderId="7" xfId="0" applyNumberFormat="1" applyFont="1" applyBorder="1" applyAlignment="1">
      <alignment horizontal="right" vertical="center"/>
    </xf>
    <xf numFmtId="188" fontId="4" fillId="0" borderId="2" xfId="0" applyNumberFormat="1" applyFont="1" applyBorder="1" applyAlignment="1">
      <alignment horizontal="right" vertical="center"/>
    </xf>
    <xf numFmtId="188" fontId="4" fillId="0" borderId="1" xfId="0" applyNumberFormat="1" applyFont="1" applyBorder="1" applyAlignment="1">
      <alignment horizontal="right" vertical="center"/>
    </xf>
    <xf numFmtId="199" fontId="4" fillId="0" borderId="0" xfId="0" applyNumberFormat="1" applyFont="1" applyBorder="1" applyAlignment="1">
      <alignment horizontal="right" vertical="center"/>
    </xf>
    <xf numFmtId="188" fontId="4" fillId="0" borderId="3" xfId="0" applyNumberFormat="1" applyFont="1" applyBorder="1" applyAlignment="1">
      <alignment horizontal="right" vertical="center"/>
    </xf>
    <xf numFmtId="188" fontId="4" fillId="0" borderId="6" xfId="0" applyNumberFormat="1" applyFont="1" applyBorder="1" applyAlignment="1">
      <alignment horizontal="right" vertical="center"/>
    </xf>
    <xf numFmtId="188" fontId="4" fillId="0" borderId="7" xfId="0" applyNumberFormat="1" applyFont="1" applyBorder="1" applyAlignment="1">
      <alignment horizontal="right" vertical="center"/>
    </xf>
    <xf numFmtId="188" fontId="4" fillId="0" borderId="8" xfId="0" applyNumberFormat="1" applyFont="1" applyBorder="1" applyAlignment="1">
      <alignment horizontal="right" vertical="center"/>
    </xf>
    <xf numFmtId="199" fontId="4" fillId="0" borderId="5" xfId="0" applyNumberFormat="1" applyFont="1" applyBorder="1" applyAlignment="1">
      <alignment horizontal="right" vertical="center"/>
    </xf>
    <xf numFmtId="0" fontId="25" fillId="0" borderId="0" xfId="0" applyFont="1" applyBorder="1" applyAlignment="1">
      <alignment horizontal="left" vertical="center"/>
    </xf>
    <xf numFmtId="0" fontId="22" fillId="0" borderId="27" xfId="0" applyFont="1" applyBorder="1" applyAlignment="1">
      <alignment horizontal="distributed" vertical="center"/>
    </xf>
    <xf numFmtId="0" fontId="4" fillId="0" borderId="13" xfId="0" applyFont="1" applyBorder="1" applyAlignment="1">
      <alignment horizontal="distributed"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22" fillId="0" borderId="2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0" xfId="0" applyFont="1" applyBorder="1" applyAlignment="1">
      <alignment horizontal="distributed" vertical="center" wrapText="1"/>
    </xf>
    <xf numFmtId="0" fontId="4" fillId="0" borderId="11" xfId="0" applyFont="1" applyBorder="1" applyAlignment="1">
      <alignment horizontal="distributed" vertical="center" wrapText="1"/>
    </xf>
    <xf numFmtId="0" fontId="22" fillId="0" borderId="2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22"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26" fillId="0" borderId="17" xfId="0" applyFont="1" applyBorder="1" applyAlignment="1">
      <alignment horizontal="center" vertical="center" wrapText="1"/>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26" fillId="0" borderId="27" xfId="0" applyFont="1" applyBorder="1" applyAlignment="1">
      <alignment horizontal="center" vertical="center" wrapText="1"/>
    </xf>
    <xf numFmtId="0" fontId="26" fillId="0" borderId="2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2" xfId="0" applyFont="1" applyBorder="1" applyAlignment="1">
      <alignment horizontal="center" vertical="center" wrapText="1"/>
    </xf>
    <xf numFmtId="0" fontId="32" fillId="0" borderId="0" xfId="0" applyFont="1" applyAlignment="1">
      <alignment horizontal="center" vertical="center"/>
    </xf>
    <xf numFmtId="0" fontId="31" fillId="0" borderId="0" xfId="0" applyFont="1" applyAlignment="1">
      <alignment horizontal="center" vertical="center"/>
    </xf>
    <xf numFmtId="0" fontId="23" fillId="0" borderId="25" xfId="0" applyFont="1" applyBorder="1" applyAlignment="1">
      <alignment horizontal="distributed" vertical="center"/>
    </xf>
    <xf numFmtId="0" fontId="8" fillId="0" borderId="20" xfId="0" applyFont="1" applyBorder="1" applyAlignment="1">
      <alignment horizontal="distributed" vertical="center"/>
    </xf>
    <xf numFmtId="0" fontId="7" fillId="0" borderId="0" xfId="0" applyFont="1" applyAlignment="1">
      <alignment horizontal="center" vertical="center" wrapText="1"/>
    </xf>
    <xf numFmtId="0" fontId="11" fillId="0" borderId="0" xfId="0" applyFont="1" applyBorder="1" applyAlignment="1">
      <alignment horizontal="right" vertical="center" wrapText="1"/>
    </xf>
    <xf numFmtId="0" fontId="11" fillId="0" borderId="5" xfId="0" applyFont="1" applyBorder="1" applyAlignment="1">
      <alignment horizontal="center" vertical="center" wrapText="1"/>
    </xf>
    <xf numFmtId="0" fontId="26" fillId="0" borderId="25" xfId="0" applyFont="1" applyBorder="1" applyAlignment="1">
      <alignment horizontal="distributed" vertical="center"/>
    </xf>
    <xf numFmtId="0" fontId="11" fillId="0" borderId="20" xfId="0" applyFont="1" applyBorder="1" applyAlignment="1">
      <alignment horizontal="distributed" vertical="center"/>
    </xf>
    <xf numFmtId="0" fontId="11" fillId="0" borderId="0" xfId="0" applyFont="1" applyBorder="1" applyAlignment="1">
      <alignment horizontal="center" vertical="center" wrapText="1"/>
    </xf>
    <xf numFmtId="0" fontId="22" fillId="0" borderId="25" xfId="0" applyFont="1" applyBorder="1" applyAlignment="1">
      <alignment horizontal="distributed" vertical="center"/>
    </xf>
    <xf numFmtId="0" fontId="4" fillId="0" borderId="20" xfId="0" applyFont="1" applyBorder="1" applyAlignment="1">
      <alignment horizontal="distributed"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2" fillId="0" borderId="24" xfId="0" applyFont="1" applyBorder="1" applyAlignment="1">
      <alignment horizontal="center" vertical="center"/>
    </xf>
    <xf numFmtId="0" fontId="4" fillId="0" borderId="4" xfId="0" applyFont="1" applyBorder="1" applyAlignment="1">
      <alignment horizontal="center" vertical="center"/>
    </xf>
    <xf numFmtId="0" fontId="22" fillId="0" borderId="15" xfId="0" applyFont="1" applyBorder="1" applyAlignment="1">
      <alignment horizontal="center" vertical="center"/>
    </xf>
    <xf numFmtId="0" fontId="4" fillId="0" borderId="2" xfId="0" applyFont="1" applyBorder="1" applyAlignment="1">
      <alignment vertical="center"/>
    </xf>
    <xf numFmtId="0" fontId="22" fillId="0" borderId="17" xfId="0" applyFont="1" applyBorder="1" applyAlignment="1">
      <alignment horizontal="center" vertical="center"/>
    </xf>
    <xf numFmtId="0" fontId="4" fillId="0" borderId="4" xfId="0" applyFont="1" applyBorder="1" applyAlignment="1">
      <alignment horizontal="center" vertical="center" wrapText="1"/>
    </xf>
    <xf numFmtId="44" fontId="22" fillId="0" borderId="15" xfId="22" applyFont="1" applyBorder="1" applyAlignment="1">
      <alignment horizontal="center" vertical="center" wrapText="1"/>
    </xf>
    <xf numFmtId="44" fontId="4" fillId="0" borderId="2" xfId="22" applyFont="1" applyBorder="1" applyAlignment="1">
      <alignment horizontal="center" vertical="center" wrapText="1"/>
    </xf>
    <xf numFmtId="0" fontId="22" fillId="0" borderId="2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22" fillId="0" borderId="27" xfId="0" applyFont="1" applyBorder="1" applyAlignment="1">
      <alignment horizontal="center" vertical="center"/>
    </xf>
    <xf numFmtId="0" fontId="23" fillId="0" borderId="22" xfId="0" applyFont="1" applyBorder="1" applyAlignment="1">
      <alignment horizontal="center" vertical="center" wrapText="1"/>
    </xf>
    <xf numFmtId="0" fontId="8" fillId="0" borderId="3" xfId="0" applyFont="1" applyBorder="1" applyAlignment="1">
      <alignment horizontal="center" vertical="center" wrapText="1"/>
    </xf>
    <xf numFmtId="0" fontId="23" fillId="0" borderId="23" xfId="0" applyFont="1" applyBorder="1" applyAlignment="1">
      <alignment horizontal="center" vertical="center" wrapText="1"/>
    </xf>
    <xf numFmtId="0" fontId="8" fillId="0" borderId="4" xfId="0" applyFont="1" applyBorder="1" applyAlignment="1">
      <alignment horizontal="center" vertical="center" wrapText="1"/>
    </xf>
    <xf numFmtId="188" fontId="23" fillId="0" borderId="21" xfId="0" applyNumberFormat="1" applyFont="1" applyBorder="1" applyAlignment="1">
      <alignment horizontal="center" vertical="center"/>
    </xf>
    <xf numFmtId="188" fontId="8" fillId="0" borderId="2" xfId="0" applyNumberFormat="1"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23" fillId="0" borderId="20" xfId="0" applyFont="1" applyBorder="1" applyAlignment="1">
      <alignment horizontal="center" wrapText="1"/>
    </xf>
    <xf numFmtId="0" fontId="8" fillId="0" borderId="11" xfId="0" applyFont="1" applyBorder="1" applyAlignment="1">
      <alignment horizontal="center" wrapText="1"/>
    </xf>
    <xf numFmtId="0" fontId="23" fillId="0" borderId="29" xfId="0" applyFont="1" applyBorder="1" applyAlignment="1">
      <alignment horizontal="distributed" vertical="center"/>
    </xf>
    <xf numFmtId="0" fontId="8" fillId="0" borderId="18" xfId="0" applyFont="1" applyBorder="1" applyAlignment="1">
      <alignment horizontal="distributed" vertical="center"/>
    </xf>
    <xf numFmtId="0" fontId="8" fillId="0" borderId="3" xfId="0" applyFont="1" applyBorder="1" applyAlignment="1">
      <alignment horizontal="center" vertical="center"/>
    </xf>
    <xf numFmtId="0" fontId="23" fillId="0" borderId="24" xfId="0" applyFont="1" applyBorder="1" applyAlignment="1">
      <alignment horizontal="center" vertical="center"/>
    </xf>
    <xf numFmtId="0" fontId="8" fillId="0" borderId="4" xfId="0" applyFont="1" applyBorder="1" applyAlignment="1">
      <alignment horizontal="center" vertical="center"/>
    </xf>
    <xf numFmtId="0" fontId="23" fillId="0" borderId="18" xfId="0" applyFont="1" applyBorder="1" applyAlignment="1">
      <alignment horizontal="center" vertical="center" wrapText="1"/>
    </xf>
    <xf numFmtId="0" fontId="8" fillId="0" borderId="19" xfId="0" applyFont="1" applyBorder="1" applyAlignment="1">
      <alignment horizontal="center" vertical="center"/>
    </xf>
    <xf numFmtId="0" fontId="26" fillId="0" borderId="25" xfId="0" applyFont="1" applyBorder="1" applyAlignment="1">
      <alignment horizontal="center" vertical="center"/>
    </xf>
    <xf numFmtId="0" fontId="11" fillId="0" borderId="20" xfId="0" applyFont="1" applyBorder="1" applyAlignment="1">
      <alignment horizontal="center" vertical="center"/>
    </xf>
    <xf numFmtId="0" fontId="34" fillId="0" borderId="0" xfId="0" applyFont="1" applyAlignment="1">
      <alignment horizontal="center" vertical="center" wrapText="1"/>
    </xf>
    <xf numFmtId="0" fontId="34" fillId="0" borderId="0" xfId="0" applyFont="1" applyAlignment="1">
      <alignment horizontal="center" vertical="center"/>
    </xf>
    <xf numFmtId="0" fontId="22" fillId="0" borderId="13" xfId="0" applyFont="1" applyBorder="1" applyAlignment="1">
      <alignment horizontal="center" vertical="center" wrapText="1"/>
    </xf>
    <xf numFmtId="0" fontId="4" fillId="0" borderId="2" xfId="0" applyFont="1" applyBorder="1" applyAlignment="1">
      <alignment horizontal="center" vertical="center"/>
    </xf>
    <xf numFmtId="0" fontId="22" fillId="0" borderId="10" xfId="0" applyFont="1" applyBorder="1" applyAlignment="1">
      <alignment horizontal="center" vertical="center"/>
    </xf>
    <xf numFmtId="0" fontId="4" fillId="0" borderId="3" xfId="0" applyFont="1" applyBorder="1" applyAlignment="1">
      <alignment horizontal="center" vertical="center"/>
    </xf>
    <xf numFmtId="0" fontId="22" fillId="0" borderId="20" xfId="0" applyFont="1" applyBorder="1" applyAlignment="1">
      <alignment horizontal="left" vertical="center" wrapText="1"/>
    </xf>
    <xf numFmtId="0" fontId="22" fillId="0" borderId="11" xfId="0" applyFont="1" applyBorder="1" applyAlignment="1">
      <alignment horizontal="left" vertical="center" wrapText="1"/>
    </xf>
    <xf numFmtId="0" fontId="22" fillId="0" borderId="11" xfId="0" applyFont="1" applyBorder="1" applyAlignment="1">
      <alignment vertical="center" wrapText="1"/>
    </xf>
    <xf numFmtId="0" fontId="4" fillId="0" borderId="11" xfId="0" applyFont="1" applyBorder="1" applyAlignment="1">
      <alignment vertical="center" wrapText="1"/>
    </xf>
    <xf numFmtId="0" fontId="22" fillId="0" borderId="12" xfId="0" applyFont="1" applyBorder="1" applyAlignment="1">
      <alignment vertical="center" wrapText="1"/>
    </xf>
  </cellXfs>
  <cellStyles count="10">
    <cellStyle name="Normal" xfId="0"/>
    <cellStyle name="sample" xfId="15"/>
    <cellStyle name="一般_6-9" xfId="16"/>
    <cellStyle name="一般_二.存款貨幣機構存款餘額xls_bs5" xfId="17"/>
    <cellStyle name="Comma" xfId="18"/>
    <cellStyle name="Comma [0]" xfId="19"/>
    <cellStyle name="年資料"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7</xdr:row>
      <xdr:rowOff>0</xdr:rowOff>
    </xdr:from>
    <xdr:to>
      <xdr:col>2</xdr:col>
      <xdr:colOff>209550</xdr:colOff>
      <xdr:row>7</xdr:row>
      <xdr:rowOff>0</xdr:rowOff>
    </xdr:to>
    <xdr:sp>
      <xdr:nvSpPr>
        <xdr:cNvPr id="1" name="TextBox 1"/>
        <xdr:cNvSpPr txBox="1">
          <a:spLocks noChangeArrowheads="1"/>
        </xdr:cNvSpPr>
      </xdr:nvSpPr>
      <xdr:spPr>
        <a:xfrm>
          <a:off x="2038350" y="2371725"/>
          <a:ext cx="171450" cy="0"/>
        </a:xfrm>
        <a:prstGeom prst="rect">
          <a:avLst/>
        </a:prstGeom>
        <a:noFill/>
        <a:ln w="9525" cmpd="sng">
          <a:noFill/>
        </a:ln>
      </xdr:spPr>
      <xdr:txBody>
        <a:bodyPr vertOverflow="clip" wrap="square"/>
        <a:p>
          <a:pPr algn="l">
            <a:defRPr/>
          </a:pPr>
          <a:r>
            <a:rPr lang="en-US" cap="none" sz="750" b="0" i="0" u="none" baseline="0"/>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5.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7"/>
  </sheetPr>
  <dimension ref="A1:M31"/>
  <sheetViews>
    <sheetView showGridLines="0" tabSelected="1" zoomScale="120" zoomScaleNormal="120" workbookViewId="0" topLeftCell="A1">
      <selection activeCell="A1" sqref="A1"/>
    </sheetView>
  </sheetViews>
  <sheetFormatPr defaultColWidth="9.00390625" defaultRowHeight="16.5"/>
  <cols>
    <col min="1" max="1" width="12.625" style="13" customWidth="1"/>
    <col min="2" max="10" width="7.125" style="13" customWidth="1"/>
    <col min="11" max="16384" width="9.00390625" style="13" customWidth="1"/>
  </cols>
  <sheetData>
    <row r="1" s="14" customFormat="1" ht="18" customHeight="1">
      <c r="J1" s="49" t="s">
        <v>833</v>
      </c>
    </row>
    <row r="2" spans="1:10" s="212" customFormat="1" ht="34.5" customHeight="1">
      <c r="A2" s="432" t="s">
        <v>895</v>
      </c>
      <c r="B2" s="433"/>
      <c r="C2" s="433"/>
      <c r="D2" s="433"/>
      <c r="E2" s="433"/>
      <c r="F2" s="433"/>
      <c r="G2" s="433"/>
      <c r="H2" s="433"/>
      <c r="I2" s="433"/>
      <c r="J2" s="433"/>
    </row>
    <row r="3" s="14" customFormat="1" ht="13.5" customHeight="1">
      <c r="J3" s="211" t="s">
        <v>836</v>
      </c>
    </row>
    <row r="4" spans="1:10" s="14" customFormat="1" ht="13.5" customHeight="1" thickBot="1">
      <c r="A4" s="6"/>
      <c r="B4" s="33"/>
      <c r="C4" s="33"/>
      <c r="D4" s="15"/>
      <c r="E4" s="15"/>
      <c r="F4" s="33"/>
      <c r="G4" s="33"/>
      <c r="H4" s="33"/>
      <c r="J4" s="63" t="s">
        <v>891</v>
      </c>
    </row>
    <row r="5" spans="1:10" s="14" customFormat="1" ht="25.5" customHeight="1">
      <c r="A5" s="429" t="s">
        <v>892</v>
      </c>
      <c r="B5" s="425" t="s">
        <v>893</v>
      </c>
      <c r="C5" s="426"/>
      <c r="D5" s="426"/>
      <c r="E5" s="426"/>
      <c r="F5" s="427"/>
      <c r="G5" s="428" t="s">
        <v>894</v>
      </c>
      <c r="H5" s="426"/>
      <c r="I5" s="426"/>
      <c r="J5" s="426"/>
    </row>
    <row r="6" spans="1:10" s="14" customFormat="1" ht="25.5" customHeight="1">
      <c r="A6" s="430"/>
      <c r="B6" s="178" t="s">
        <v>869</v>
      </c>
      <c r="C6" s="179" t="s">
        <v>870</v>
      </c>
      <c r="D6" s="179" t="s">
        <v>871</v>
      </c>
      <c r="E6" s="179" t="s">
        <v>872</v>
      </c>
      <c r="F6" s="180" t="s">
        <v>873</v>
      </c>
      <c r="G6" s="180" t="s">
        <v>869</v>
      </c>
      <c r="H6" s="179" t="s">
        <v>870</v>
      </c>
      <c r="I6" s="179" t="s">
        <v>871</v>
      </c>
      <c r="J6" s="181" t="s">
        <v>872</v>
      </c>
    </row>
    <row r="7" spans="1:10" s="14" customFormat="1" ht="48" customHeight="1" thickBot="1">
      <c r="A7" s="431"/>
      <c r="B7" s="151" t="s">
        <v>874</v>
      </c>
      <c r="C7" s="58" t="s">
        <v>875</v>
      </c>
      <c r="D7" s="58" t="s">
        <v>876</v>
      </c>
      <c r="E7" s="58" t="s">
        <v>877</v>
      </c>
      <c r="F7" s="58" t="s">
        <v>878</v>
      </c>
      <c r="G7" s="58" t="s">
        <v>874</v>
      </c>
      <c r="H7" s="58" t="s">
        <v>875</v>
      </c>
      <c r="I7" s="58" t="s">
        <v>876</v>
      </c>
      <c r="J7" s="59" t="s">
        <v>877</v>
      </c>
    </row>
    <row r="8" spans="1:13" s="187" customFormat="1" ht="23.25" customHeight="1">
      <c r="A8" s="182" t="s">
        <v>879</v>
      </c>
      <c r="B8" s="183">
        <v>7141</v>
      </c>
      <c r="C8" s="184">
        <v>102</v>
      </c>
      <c r="D8" s="184">
        <v>128</v>
      </c>
      <c r="E8" s="184">
        <v>866</v>
      </c>
      <c r="F8" s="184">
        <v>1888</v>
      </c>
      <c r="G8" s="185">
        <v>5719</v>
      </c>
      <c r="H8" s="185">
        <v>124</v>
      </c>
      <c r="I8" s="185">
        <v>79</v>
      </c>
      <c r="J8" s="186">
        <v>403</v>
      </c>
      <c r="L8" s="188"/>
      <c r="M8" s="188"/>
    </row>
    <row r="9" spans="1:13" s="187" customFormat="1" ht="23.25" customHeight="1">
      <c r="A9" s="182" t="s">
        <v>880</v>
      </c>
      <c r="B9" s="189">
        <v>7777</v>
      </c>
      <c r="C9" s="190">
        <v>126</v>
      </c>
      <c r="D9" s="190">
        <v>113</v>
      </c>
      <c r="E9" s="190">
        <v>928</v>
      </c>
      <c r="F9" s="190">
        <v>2098</v>
      </c>
      <c r="G9" s="191">
        <v>5837</v>
      </c>
      <c r="H9" s="191">
        <v>100</v>
      </c>
      <c r="I9" s="191">
        <v>64</v>
      </c>
      <c r="J9" s="192">
        <v>387</v>
      </c>
      <c r="L9" s="188"/>
      <c r="M9" s="188"/>
    </row>
    <row r="10" spans="1:13" s="187" customFormat="1" ht="23.25" customHeight="1">
      <c r="A10" s="182" t="s">
        <v>881</v>
      </c>
      <c r="B10" s="189">
        <v>8118</v>
      </c>
      <c r="C10" s="190">
        <v>156</v>
      </c>
      <c r="D10" s="190">
        <v>82</v>
      </c>
      <c r="E10" s="190">
        <v>927</v>
      </c>
      <c r="F10" s="190">
        <v>2312</v>
      </c>
      <c r="G10" s="191">
        <v>6204</v>
      </c>
      <c r="H10" s="191">
        <v>99</v>
      </c>
      <c r="I10" s="191">
        <v>43</v>
      </c>
      <c r="J10" s="192">
        <v>377</v>
      </c>
      <c r="L10" s="188"/>
      <c r="M10" s="188"/>
    </row>
    <row r="11" spans="1:13" s="187" customFormat="1" ht="23.25" customHeight="1">
      <c r="A11" s="182" t="s">
        <v>882</v>
      </c>
      <c r="B11" s="189">
        <v>8809</v>
      </c>
      <c r="C11" s="190">
        <v>152</v>
      </c>
      <c r="D11" s="190">
        <v>87</v>
      </c>
      <c r="E11" s="190">
        <v>871</v>
      </c>
      <c r="F11" s="190">
        <v>2507</v>
      </c>
      <c r="G11" s="191">
        <v>6207</v>
      </c>
      <c r="H11" s="191">
        <v>91</v>
      </c>
      <c r="I11" s="191">
        <v>32</v>
      </c>
      <c r="J11" s="192">
        <v>393</v>
      </c>
      <c r="L11" s="188"/>
      <c r="M11" s="188"/>
    </row>
    <row r="12" spans="1:13" s="187" customFormat="1" ht="23.25" customHeight="1">
      <c r="A12" s="182" t="s">
        <v>883</v>
      </c>
      <c r="B12" s="189">
        <v>9276</v>
      </c>
      <c r="C12" s="190">
        <v>133</v>
      </c>
      <c r="D12" s="190">
        <v>83</v>
      </c>
      <c r="E12" s="190">
        <v>861</v>
      </c>
      <c r="F12" s="190">
        <v>2507</v>
      </c>
      <c r="G12" s="191">
        <v>6010</v>
      </c>
      <c r="H12" s="191">
        <v>79</v>
      </c>
      <c r="I12" s="191">
        <v>22</v>
      </c>
      <c r="J12" s="192">
        <v>381</v>
      </c>
      <c r="L12" s="188"/>
      <c r="M12" s="188"/>
    </row>
    <row r="13" spans="1:13" s="187" customFormat="1" ht="23.25" customHeight="1">
      <c r="A13" s="182" t="s">
        <v>884</v>
      </c>
      <c r="B13" s="189">
        <v>9807</v>
      </c>
      <c r="C13" s="190">
        <v>133</v>
      </c>
      <c r="D13" s="190">
        <v>82</v>
      </c>
      <c r="E13" s="190">
        <v>901</v>
      </c>
      <c r="F13" s="190">
        <v>2564</v>
      </c>
      <c r="G13" s="191">
        <v>6698</v>
      </c>
      <c r="H13" s="191">
        <v>76</v>
      </c>
      <c r="I13" s="191">
        <v>20</v>
      </c>
      <c r="J13" s="192">
        <v>367</v>
      </c>
      <c r="L13" s="188"/>
      <c r="M13" s="188"/>
    </row>
    <row r="14" spans="1:13" s="187" customFormat="1" ht="6" customHeight="1">
      <c r="A14" s="194"/>
      <c r="B14" s="189"/>
      <c r="C14" s="190"/>
      <c r="D14" s="190"/>
      <c r="E14" s="190"/>
      <c r="F14" s="190"/>
      <c r="G14" s="191"/>
      <c r="H14" s="191"/>
      <c r="I14" s="191"/>
      <c r="J14" s="192"/>
      <c r="L14" s="188"/>
      <c r="M14" s="188"/>
    </row>
    <row r="15" spans="1:13" s="187" customFormat="1" ht="23.25" customHeight="1">
      <c r="A15" s="182" t="s">
        <v>885</v>
      </c>
      <c r="B15" s="189"/>
      <c r="C15" s="190"/>
      <c r="D15" s="190"/>
      <c r="E15" s="190"/>
      <c r="F15" s="190"/>
      <c r="G15" s="191"/>
      <c r="H15" s="191"/>
      <c r="I15" s="191"/>
      <c r="J15" s="192"/>
      <c r="L15" s="188"/>
      <c r="M15" s="188"/>
    </row>
    <row r="16" spans="1:13" s="187" customFormat="1" ht="23.25" customHeight="1">
      <c r="A16" s="194" t="s">
        <v>886</v>
      </c>
      <c r="B16" s="189">
        <v>10161</v>
      </c>
      <c r="C16" s="190">
        <v>136</v>
      </c>
      <c r="D16" s="190">
        <v>78</v>
      </c>
      <c r="E16" s="190">
        <v>182</v>
      </c>
      <c r="F16" s="190">
        <v>2626</v>
      </c>
      <c r="G16" s="191">
        <v>7299</v>
      </c>
      <c r="H16" s="191">
        <v>74</v>
      </c>
      <c r="I16" s="191">
        <v>22</v>
      </c>
      <c r="J16" s="192">
        <v>76</v>
      </c>
      <c r="L16" s="188"/>
      <c r="M16" s="188"/>
    </row>
    <row r="17" spans="1:10" s="199" customFormat="1" ht="23.25" customHeight="1">
      <c r="A17" s="194" t="s">
        <v>887</v>
      </c>
      <c r="B17" s="195">
        <v>10725</v>
      </c>
      <c r="C17" s="196">
        <v>144</v>
      </c>
      <c r="D17" s="196">
        <v>79</v>
      </c>
      <c r="E17" s="196">
        <v>186</v>
      </c>
      <c r="F17" s="196">
        <v>2713</v>
      </c>
      <c r="G17" s="196">
        <v>7963</v>
      </c>
      <c r="H17" s="197">
        <v>80</v>
      </c>
      <c r="I17" s="197">
        <v>21</v>
      </c>
      <c r="J17" s="198">
        <v>72</v>
      </c>
    </row>
    <row r="18" spans="1:10" s="199" customFormat="1" ht="6" customHeight="1">
      <c r="A18" s="194"/>
      <c r="B18" s="195"/>
      <c r="C18" s="196"/>
      <c r="D18" s="196"/>
      <c r="E18" s="196"/>
      <c r="F18" s="196"/>
      <c r="G18" s="196"/>
      <c r="H18" s="197"/>
      <c r="I18" s="197"/>
      <c r="J18" s="198"/>
    </row>
    <row r="19" spans="1:13" s="187" customFormat="1" ht="23.25" customHeight="1">
      <c r="A19" s="182" t="s">
        <v>888</v>
      </c>
      <c r="B19" s="189"/>
      <c r="C19" s="190"/>
      <c r="D19" s="190"/>
      <c r="E19" s="190"/>
      <c r="F19" s="190"/>
      <c r="G19" s="191"/>
      <c r="H19" s="191"/>
      <c r="I19" s="191"/>
      <c r="J19" s="192"/>
      <c r="L19" s="188"/>
      <c r="M19" s="188"/>
    </row>
    <row r="20" spans="1:13" s="187" customFormat="1" ht="23.25" customHeight="1">
      <c r="A20" s="194" t="s">
        <v>886</v>
      </c>
      <c r="B20" s="189">
        <v>10903</v>
      </c>
      <c r="C20" s="190">
        <v>143</v>
      </c>
      <c r="D20" s="190">
        <v>80</v>
      </c>
      <c r="E20" s="190">
        <v>184</v>
      </c>
      <c r="F20" s="190">
        <v>2871</v>
      </c>
      <c r="G20" s="191">
        <v>8520</v>
      </c>
      <c r="H20" s="191">
        <v>87</v>
      </c>
      <c r="I20" s="191">
        <v>23</v>
      </c>
      <c r="J20" s="192">
        <v>72</v>
      </c>
      <c r="L20" s="188"/>
      <c r="M20" s="188"/>
    </row>
    <row r="21" spans="1:10" s="199" customFormat="1" ht="23.25" customHeight="1">
      <c r="A21" s="194" t="s">
        <v>887</v>
      </c>
      <c r="B21" s="195">
        <v>11368</v>
      </c>
      <c r="C21" s="196">
        <v>143</v>
      </c>
      <c r="D21" s="196">
        <v>78</v>
      </c>
      <c r="E21" s="196">
        <v>185</v>
      </c>
      <c r="F21" s="196">
        <v>2981</v>
      </c>
      <c r="G21" s="196">
        <v>9112</v>
      </c>
      <c r="H21" s="197">
        <v>92</v>
      </c>
      <c r="I21" s="197">
        <v>33</v>
      </c>
      <c r="J21" s="198">
        <v>71</v>
      </c>
    </row>
    <row r="22" spans="1:10" s="199" customFormat="1" ht="6" customHeight="1">
      <c r="A22" s="194"/>
      <c r="B22" s="195"/>
      <c r="C22" s="196"/>
      <c r="D22" s="196"/>
      <c r="E22" s="196"/>
      <c r="F22" s="196"/>
      <c r="G22" s="196"/>
      <c r="H22" s="197"/>
      <c r="I22" s="197"/>
      <c r="J22" s="198"/>
    </row>
    <row r="23" spans="1:10" s="199" customFormat="1" ht="23.25" customHeight="1">
      <c r="A23" s="182" t="s">
        <v>889</v>
      </c>
      <c r="B23" s="195"/>
      <c r="C23" s="196"/>
      <c r="D23" s="196"/>
      <c r="E23" s="196"/>
      <c r="F23" s="196"/>
      <c r="G23" s="196"/>
      <c r="H23" s="197"/>
      <c r="I23" s="197"/>
      <c r="J23" s="198"/>
    </row>
    <row r="24" spans="1:10" s="199" customFormat="1" ht="23.25" customHeight="1">
      <c r="A24" s="194" t="s">
        <v>886</v>
      </c>
      <c r="B24" s="195">
        <v>11333</v>
      </c>
      <c r="C24" s="196">
        <v>147</v>
      </c>
      <c r="D24" s="196">
        <v>76</v>
      </c>
      <c r="E24" s="200">
        <v>185</v>
      </c>
      <c r="F24" s="196">
        <v>3084</v>
      </c>
      <c r="G24" s="196">
        <v>9494</v>
      </c>
      <c r="H24" s="197">
        <v>94</v>
      </c>
      <c r="I24" s="197">
        <v>31</v>
      </c>
      <c r="J24" s="201">
        <v>79</v>
      </c>
    </row>
    <row r="25" spans="1:10" s="199" customFormat="1" ht="23.25" customHeight="1">
      <c r="A25" s="194" t="s">
        <v>887</v>
      </c>
      <c r="B25" s="195">
        <v>11729</v>
      </c>
      <c r="C25" s="196">
        <v>152</v>
      </c>
      <c r="D25" s="196">
        <v>77</v>
      </c>
      <c r="E25" s="200">
        <v>184</v>
      </c>
      <c r="F25" s="196">
        <v>3128</v>
      </c>
      <c r="G25" s="196">
        <v>9736</v>
      </c>
      <c r="H25" s="197">
        <v>97</v>
      </c>
      <c r="I25" s="197">
        <v>31</v>
      </c>
      <c r="J25" s="201">
        <v>79</v>
      </c>
    </row>
    <row r="26" spans="1:10" s="199" customFormat="1" ht="6" customHeight="1">
      <c r="A26" s="194"/>
      <c r="B26" s="195"/>
      <c r="C26" s="196"/>
      <c r="D26" s="196"/>
      <c r="E26" s="196"/>
      <c r="F26" s="196"/>
      <c r="G26" s="196"/>
      <c r="H26" s="197"/>
      <c r="I26" s="197"/>
      <c r="J26" s="198"/>
    </row>
    <row r="27" spans="1:10" s="199" customFormat="1" ht="23.25" customHeight="1">
      <c r="A27" s="182" t="s">
        <v>890</v>
      </c>
      <c r="B27" s="195"/>
      <c r="C27" s="196"/>
      <c r="D27" s="196"/>
      <c r="E27" s="196"/>
      <c r="F27" s="196"/>
      <c r="G27" s="196"/>
      <c r="H27" s="197"/>
      <c r="I27" s="197"/>
      <c r="J27" s="198"/>
    </row>
    <row r="28" spans="1:10" s="199" customFormat="1" ht="23.25" customHeight="1">
      <c r="A28" s="194" t="s">
        <v>886</v>
      </c>
      <c r="B28" s="195">
        <v>1169</v>
      </c>
      <c r="C28" s="196">
        <v>150</v>
      </c>
      <c r="D28" s="196">
        <v>42</v>
      </c>
      <c r="E28" s="200">
        <v>183</v>
      </c>
      <c r="F28" s="196">
        <v>3200</v>
      </c>
      <c r="G28" s="196">
        <v>10089</v>
      </c>
      <c r="H28" s="197">
        <v>98</v>
      </c>
      <c r="I28" s="197">
        <v>18</v>
      </c>
      <c r="J28" s="201">
        <v>86</v>
      </c>
    </row>
    <row r="29" spans="1:10" s="199" customFormat="1" ht="23.25" customHeight="1" thickBot="1">
      <c r="A29" s="202" t="s">
        <v>887</v>
      </c>
      <c r="B29" s="203">
        <v>1167</v>
      </c>
      <c r="C29" s="204">
        <v>154</v>
      </c>
      <c r="D29" s="204">
        <v>19</v>
      </c>
      <c r="E29" s="205">
        <v>174</v>
      </c>
      <c r="F29" s="204">
        <v>3169</v>
      </c>
      <c r="G29" s="204">
        <v>9664</v>
      </c>
      <c r="H29" s="206">
        <v>111</v>
      </c>
      <c r="I29" s="206">
        <v>1</v>
      </c>
      <c r="J29" s="207">
        <v>92</v>
      </c>
    </row>
    <row r="30" spans="1:7" s="199" customFormat="1" ht="13.5" customHeight="1">
      <c r="A30" s="208" t="s">
        <v>866</v>
      </c>
      <c r="B30" s="209"/>
      <c r="C30" s="209"/>
      <c r="D30" s="209"/>
      <c r="E30" s="51" t="s">
        <v>867</v>
      </c>
      <c r="F30" s="209"/>
      <c r="G30" s="210"/>
    </row>
    <row r="31" spans="1:7" s="199" customFormat="1" ht="13.5" customHeight="1">
      <c r="A31" s="208" t="s">
        <v>896</v>
      </c>
      <c r="B31" s="209"/>
      <c r="C31" s="209"/>
      <c r="D31" s="209"/>
      <c r="E31" s="209"/>
      <c r="F31" s="209"/>
      <c r="G31" s="210"/>
    </row>
    <row r="32" s="14" customFormat="1" ht="13.5" customHeight="1"/>
  </sheetData>
  <mergeCells count="4">
    <mergeCell ref="B5:F5"/>
    <mergeCell ref="G5:J5"/>
    <mergeCell ref="A5:A7"/>
    <mergeCell ref="A2:J2"/>
  </mergeCells>
  <printOptions/>
  <pageMargins left="1.1023622047244095" right="1.1023622047244095" top="1.5748031496062993" bottom="1.535433070866142" header="0.5118110236220472" footer="0.9055118110236221"/>
  <pageSetup firstPageNumber="257"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10.xml><?xml version="1.0" encoding="utf-8"?>
<worksheet xmlns="http://schemas.openxmlformats.org/spreadsheetml/2006/main" xmlns:r="http://schemas.openxmlformats.org/officeDocument/2006/relationships">
  <sheetPr>
    <tabColor indexed="17"/>
  </sheetPr>
  <dimension ref="A1:AD26"/>
  <sheetViews>
    <sheetView showGridLines="0" zoomScale="120" zoomScaleNormal="120" workbookViewId="0" topLeftCell="A1">
      <selection activeCell="A1" sqref="A1"/>
    </sheetView>
  </sheetViews>
  <sheetFormatPr defaultColWidth="9.00390625" defaultRowHeight="16.5"/>
  <cols>
    <col min="1" max="1" width="14.625" style="13" customWidth="1"/>
    <col min="2" max="2" width="10.125" style="13" customWidth="1"/>
    <col min="3" max="3" width="9.625" style="13" customWidth="1"/>
    <col min="4" max="7" width="10.125" style="13" customWidth="1"/>
    <col min="8" max="8" width="9.00390625" style="13" customWidth="1"/>
    <col min="9" max="10" width="10.625" style="13" customWidth="1"/>
    <col min="11" max="11" width="8.625" style="13" customWidth="1"/>
    <col min="12" max="15" width="9.00390625" style="13" customWidth="1"/>
    <col min="16" max="16" width="15.625" style="13" customWidth="1"/>
    <col min="17" max="19" width="11.875" style="13" customWidth="1"/>
    <col min="20" max="20" width="11.625" style="13" customWidth="1"/>
    <col min="21" max="21" width="11.875" style="13" customWidth="1"/>
    <col min="22" max="22" width="11.125" style="13" customWidth="1"/>
    <col min="23" max="28" width="10.625" style="13" customWidth="1"/>
    <col min="29" max="16384" width="9.00390625" style="13" customWidth="1"/>
  </cols>
  <sheetData>
    <row r="1" spans="1:28" s="14" customFormat="1" ht="19.5" customHeight="1">
      <c r="A1" s="177" t="s">
        <v>823</v>
      </c>
      <c r="B1" s="26"/>
      <c r="C1" s="26"/>
      <c r="D1" s="26"/>
      <c r="E1" s="26"/>
      <c r="F1" s="26"/>
      <c r="G1" s="26"/>
      <c r="H1" s="26"/>
      <c r="O1" s="49" t="s">
        <v>833</v>
      </c>
      <c r="P1" s="177" t="s">
        <v>823</v>
      </c>
      <c r="AB1" s="49" t="s">
        <v>833</v>
      </c>
    </row>
    <row r="2" spans="1:30" s="16" customFormat="1" ht="25.5" customHeight="1">
      <c r="A2" s="434" t="s">
        <v>814</v>
      </c>
      <c r="B2" s="433"/>
      <c r="C2" s="433"/>
      <c r="D2" s="433"/>
      <c r="E2" s="433"/>
      <c r="F2" s="433"/>
      <c r="G2" s="433"/>
      <c r="H2" s="433" t="s">
        <v>232</v>
      </c>
      <c r="I2" s="433"/>
      <c r="J2" s="433"/>
      <c r="K2" s="433"/>
      <c r="L2" s="433"/>
      <c r="M2" s="433"/>
      <c r="N2" s="433"/>
      <c r="O2" s="433"/>
      <c r="P2" s="434" t="s">
        <v>233</v>
      </c>
      <c r="Q2" s="433"/>
      <c r="R2" s="433"/>
      <c r="S2" s="433"/>
      <c r="T2" s="433"/>
      <c r="U2" s="433"/>
      <c r="V2" s="433" t="s">
        <v>234</v>
      </c>
      <c r="W2" s="433"/>
      <c r="X2" s="433"/>
      <c r="Y2" s="433"/>
      <c r="Z2" s="433"/>
      <c r="AA2" s="433"/>
      <c r="AB2" s="433"/>
      <c r="AC2" s="44"/>
      <c r="AD2" s="44"/>
    </row>
    <row r="3" spans="1:28" s="14" customFormat="1" ht="18" customHeight="1" thickBot="1">
      <c r="A3" s="6"/>
      <c r="B3" s="15"/>
      <c r="C3" s="15"/>
      <c r="D3" s="15"/>
      <c r="E3" s="15"/>
      <c r="F3" s="15"/>
      <c r="G3" s="284" t="s">
        <v>239</v>
      </c>
      <c r="H3" s="15"/>
      <c r="I3" s="15"/>
      <c r="J3" s="15"/>
      <c r="L3" s="1"/>
      <c r="M3" s="1"/>
      <c r="N3" s="1"/>
      <c r="O3" s="49" t="s">
        <v>240</v>
      </c>
      <c r="P3" s="6"/>
      <c r="Q3" s="1"/>
      <c r="R3" s="1"/>
      <c r="S3" s="1"/>
      <c r="T3" s="1"/>
      <c r="U3" s="284" t="s">
        <v>239</v>
      </c>
      <c r="V3" s="1"/>
      <c r="W3" s="1"/>
      <c r="X3" s="1"/>
      <c r="Y3" s="1"/>
      <c r="Z3" s="1"/>
      <c r="AB3" s="49" t="s">
        <v>240</v>
      </c>
    </row>
    <row r="4" spans="1:28" s="14" customFormat="1" ht="31.5" customHeight="1">
      <c r="A4" s="412" t="s">
        <v>211</v>
      </c>
      <c r="B4" s="454" t="s">
        <v>164</v>
      </c>
      <c r="C4" s="408" t="s">
        <v>165</v>
      </c>
      <c r="D4" s="409"/>
      <c r="E4" s="409"/>
      <c r="F4" s="409"/>
      <c r="G4" s="409"/>
      <c r="H4" s="86"/>
      <c r="I4" s="410" t="s">
        <v>166</v>
      </c>
      <c r="J4" s="410"/>
      <c r="K4" s="87"/>
      <c r="L4" s="408" t="s">
        <v>167</v>
      </c>
      <c r="M4" s="409"/>
      <c r="N4" s="410" t="s">
        <v>168</v>
      </c>
      <c r="O4" s="411"/>
      <c r="P4" s="412" t="s">
        <v>211</v>
      </c>
      <c r="Q4" s="456" t="s">
        <v>169</v>
      </c>
      <c r="R4" s="410"/>
      <c r="S4" s="410"/>
      <c r="T4" s="410"/>
      <c r="U4" s="410"/>
      <c r="V4" s="86"/>
      <c r="W4" s="86"/>
      <c r="X4" s="47" t="s">
        <v>170</v>
      </c>
      <c r="Y4" s="86"/>
      <c r="Z4" s="86"/>
      <c r="AA4" s="87"/>
      <c r="AB4" s="452" t="s">
        <v>171</v>
      </c>
    </row>
    <row r="5" spans="1:28" s="14" customFormat="1" ht="31.5" customHeight="1">
      <c r="A5" s="450"/>
      <c r="B5" s="455"/>
      <c r="C5" s="305" t="s">
        <v>172</v>
      </c>
      <c r="D5" s="298" t="s">
        <v>173</v>
      </c>
      <c r="E5" s="298" t="s">
        <v>174</v>
      </c>
      <c r="F5" s="298" t="s">
        <v>175</v>
      </c>
      <c r="G5" s="306" t="s">
        <v>176</v>
      </c>
      <c r="H5" s="307" t="s">
        <v>177</v>
      </c>
      <c r="I5" s="308" t="s">
        <v>178</v>
      </c>
      <c r="J5" s="308" t="s">
        <v>179</v>
      </c>
      <c r="K5" s="305" t="s">
        <v>180</v>
      </c>
      <c r="L5" s="306" t="s">
        <v>172</v>
      </c>
      <c r="M5" s="307" t="s">
        <v>180</v>
      </c>
      <c r="N5" s="305" t="s">
        <v>181</v>
      </c>
      <c r="O5" s="308" t="s">
        <v>182</v>
      </c>
      <c r="P5" s="450"/>
      <c r="Q5" s="307" t="s">
        <v>172</v>
      </c>
      <c r="R5" s="305" t="s">
        <v>181</v>
      </c>
      <c r="S5" s="308" t="s">
        <v>182</v>
      </c>
      <c r="T5" s="308" t="s">
        <v>183</v>
      </c>
      <c r="U5" s="306" t="s">
        <v>184</v>
      </c>
      <c r="V5" s="298" t="s">
        <v>185</v>
      </c>
      <c r="W5" s="305" t="s">
        <v>186</v>
      </c>
      <c r="X5" s="307" t="s">
        <v>187</v>
      </c>
      <c r="Y5" s="305" t="s">
        <v>188</v>
      </c>
      <c r="Z5" s="305" t="s">
        <v>189</v>
      </c>
      <c r="AA5" s="305" t="s">
        <v>190</v>
      </c>
      <c r="AB5" s="453"/>
    </row>
    <row r="6" spans="1:28" s="36" customFormat="1" ht="31.5" customHeight="1" thickBot="1">
      <c r="A6" s="451"/>
      <c r="B6" s="12" t="s">
        <v>191</v>
      </c>
      <c r="C6" s="39" t="s">
        <v>910</v>
      </c>
      <c r="D6" s="12" t="s">
        <v>192</v>
      </c>
      <c r="E6" s="12" t="s">
        <v>193</v>
      </c>
      <c r="F6" s="12" t="s">
        <v>194</v>
      </c>
      <c r="G6" s="39" t="s">
        <v>195</v>
      </c>
      <c r="H6" s="12" t="s">
        <v>196</v>
      </c>
      <c r="I6" s="39" t="s">
        <v>197</v>
      </c>
      <c r="J6" s="39" t="s">
        <v>198</v>
      </c>
      <c r="K6" s="39" t="s">
        <v>199</v>
      </c>
      <c r="L6" s="39" t="s">
        <v>910</v>
      </c>
      <c r="M6" s="12" t="s">
        <v>199</v>
      </c>
      <c r="N6" s="39" t="s">
        <v>200</v>
      </c>
      <c r="O6" s="39" t="s">
        <v>201</v>
      </c>
      <c r="P6" s="451"/>
      <c r="Q6" s="12" t="s">
        <v>910</v>
      </c>
      <c r="R6" s="39" t="s">
        <v>200</v>
      </c>
      <c r="S6" s="39" t="s">
        <v>201</v>
      </c>
      <c r="T6" s="39" t="s">
        <v>202</v>
      </c>
      <c r="U6" s="39" t="s">
        <v>203</v>
      </c>
      <c r="V6" s="12" t="s">
        <v>204</v>
      </c>
      <c r="W6" s="39" t="s">
        <v>205</v>
      </c>
      <c r="X6" s="12" t="s">
        <v>206</v>
      </c>
      <c r="Y6" s="39" t="s">
        <v>207</v>
      </c>
      <c r="Z6" s="39" t="s">
        <v>208</v>
      </c>
      <c r="AA6" s="39" t="s">
        <v>854</v>
      </c>
      <c r="AB6" s="40" t="s">
        <v>209</v>
      </c>
    </row>
    <row r="7" spans="1:28" s="5" customFormat="1" ht="33.75" customHeight="1">
      <c r="A7" s="309" t="s">
        <v>212</v>
      </c>
      <c r="B7" s="156">
        <f>C7+L7+Q7+AB7</f>
        <v>93646768</v>
      </c>
      <c r="C7" s="50">
        <f>SUM(D7:K7)</f>
        <v>52119616</v>
      </c>
      <c r="D7" s="3">
        <v>9771830</v>
      </c>
      <c r="E7" s="3">
        <v>11853697</v>
      </c>
      <c r="F7" s="3">
        <v>1273619</v>
      </c>
      <c r="G7" s="3">
        <v>24164162</v>
      </c>
      <c r="H7" s="242" t="s">
        <v>897</v>
      </c>
      <c r="I7" s="3">
        <v>5056308</v>
      </c>
      <c r="J7" s="240" t="s">
        <v>897</v>
      </c>
      <c r="K7" s="240" t="s">
        <v>897</v>
      </c>
      <c r="L7" s="3">
        <f>M7+N7+O7</f>
        <v>19510696</v>
      </c>
      <c r="M7" s="3">
        <v>15596759</v>
      </c>
      <c r="N7" s="3">
        <v>397721</v>
      </c>
      <c r="O7" s="3">
        <v>3516216</v>
      </c>
      <c r="P7" s="313" t="s">
        <v>213</v>
      </c>
      <c r="Q7" s="67">
        <f>SUM(R7:AA7)</f>
        <v>21200987</v>
      </c>
      <c r="R7" s="240" t="s">
        <v>210</v>
      </c>
      <c r="S7" s="240" t="s">
        <v>210</v>
      </c>
      <c r="T7" s="283" t="s">
        <v>897</v>
      </c>
      <c r="U7" s="3">
        <v>3317565</v>
      </c>
      <c r="V7" s="9">
        <v>11740862</v>
      </c>
      <c r="W7" s="3">
        <v>3923293</v>
      </c>
      <c r="X7" s="3">
        <v>244599</v>
      </c>
      <c r="Y7" s="3">
        <v>1450809</v>
      </c>
      <c r="Z7" s="3">
        <v>523859</v>
      </c>
      <c r="AA7" s="283" t="s">
        <v>897</v>
      </c>
      <c r="AB7" s="68">
        <v>815469</v>
      </c>
    </row>
    <row r="8" spans="1:28" s="5" customFormat="1" ht="33.75" customHeight="1">
      <c r="A8" s="170" t="s">
        <v>214</v>
      </c>
      <c r="B8" s="156">
        <f>C8+L8+Q8+AB8</f>
        <v>107536243</v>
      </c>
      <c r="C8" s="50">
        <f>SUM(D8:K8)</f>
        <v>66902997</v>
      </c>
      <c r="D8" s="3">
        <v>10611630</v>
      </c>
      <c r="E8" s="3">
        <v>12472936</v>
      </c>
      <c r="F8" s="3">
        <v>1201732</v>
      </c>
      <c r="G8" s="3">
        <v>38817467</v>
      </c>
      <c r="H8" s="242" t="s">
        <v>913</v>
      </c>
      <c r="I8" s="3">
        <v>3769139</v>
      </c>
      <c r="J8" s="3">
        <v>30093</v>
      </c>
      <c r="K8" s="240" t="s">
        <v>913</v>
      </c>
      <c r="L8" s="3">
        <f>M8+N8+O8</f>
        <v>18983134</v>
      </c>
      <c r="M8" s="3">
        <v>14793015</v>
      </c>
      <c r="N8" s="3">
        <v>443346</v>
      </c>
      <c r="O8" s="3">
        <v>3746773</v>
      </c>
      <c r="P8" s="170" t="s">
        <v>215</v>
      </c>
      <c r="Q8" s="3">
        <f>SUM(R8:AA8)</f>
        <v>20886914</v>
      </c>
      <c r="R8" s="240" t="s">
        <v>216</v>
      </c>
      <c r="S8" s="240" t="s">
        <v>216</v>
      </c>
      <c r="T8" s="283" t="s">
        <v>913</v>
      </c>
      <c r="U8" s="3">
        <v>3628539</v>
      </c>
      <c r="V8" s="9">
        <v>11412129</v>
      </c>
      <c r="W8" s="3">
        <v>4199579</v>
      </c>
      <c r="X8" s="3">
        <v>237092</v>
      </c>
      <c r="Y8" s="3">
        <v>1332141</v>
      </c>
      <c r="Z8" s="3">
        <v>77434</v>
      </c>
      <c r="AA8" s="283" t="s">
        <v>913</v>
      </c>
      <c r="AB8" s="68">
        <v>763198</v>
      </c>
    </row>
    <row r="9" spans="1:28" s="5" customFormat="1" ht="45" customHeight="1">
      <c r="A9" s="165" t="s">
        <v>217</v>
      </c>
      <c r="B9" s="156">
        <f>C9+Q9+AB9</f>
        <v>149870884</v>
      </c>
      <c r="C9" s="50">
        <f>SUM(D9:K9)</f>
        <v>116777971</v>
      </c>
      <c r="D9" s="3">
        <v>16423076</v>
      </c>
      <c r="E9" s="3">
        <v>16500031</v>
      </c>
      <c r="F9" s="3">
        <v>3424461</v>
      </c>
      <c r="G9" s="3">
        <v>52862646</v>
      </c>
      <c r="H9" s="242" t="s">
        <v>913</v>
      </c>
      <c r="I9" s="3">
        <v>7817164</v>
      </c>
      <c r="J9" s="3">
        <v>52130</v>
      </c>
      <c r="K9" s="74">
        <v>19698463</v>
      </c>
      <c r="L9" s="240" t="s">
        <v>913</v>
      </c>
      <c r="M9" s="240" t="s">
        <v>913</v>
      </c>
      <c r="N9" s="240" t="s">
        <v>913</v>
      </c>
      <c r="O9" s="240" t="s">
        <v>913</v>
      </c>
      <c r="P9" s="165" t="s">
        <v>218</v>
      </c>
      <c r="Q9" s="3">
        <f>SUM(R9:AA9)</f>
        <v>31961829</v>
      </c>
      <c r="R9" s="74">
        <v>672773</v>
      </c>
      <c r="S9" s="74">
        <v>4167578</v>
      </c>
      <c r="T9" s="283" t="s">
        <v>913</v>
      </c>
      <c r="U9" s="3">
        <v>6838651</v>
      </c>
      <c r="V9" s="9">
        <v>13841789</v>
      </c>
      <c r="W9" s="3">
        <v>4539623</v>
      </c>
      <c r="X9" s="3">
        <v>390901</v>
      </c>
      <c r="Y9" s="3">
        <v>1500697</v>
      </c>
      <c r="Z9" s="3">
        <v>9817</v>
      </c>
      <c r="AA9" s="283" t="s">
        <v>913</v>
      </c>
      <c r="AB9" s="68">
        <v>1131084</v>
      </c>
    </row>
    <row r="10" spans="1:28" s="5" customFormat="1" ht="12" customHeight="1">
      <c r="A10" s="165"/>
      <c r="B10" s="156"/>
      <c r="C10" s="50"/>
      <c r="D10" s="3"/>
      <c r="E10" s="3"/>
      <c r="F10" s="3"/>
      <c r="G10" s="3"/>
      <c r="H10" s="9"/>
      <c r="I10" s="3"/>
      <c r="J10" s="3"/>
      <c r="K10" s="74"/>
      <c r="L10" s="3"/>
      <c r="M10" s="3"/>
      <c r="N10" s="3"/>
      <c r="O10" s="3"/>
      <c r="P10" s="165"/>
      <c r="Q10" s="3"/>
      <c r="R10" s="74"/>
      <c r="S10" s="74"/>
      <c r="T10" s="67"/>
      <c r="U10" s="3"/>
      <c r="V10" s="9"/>
      <c r="W10" s="3"/>
      <c r="X10" s="3"/>
      <c r="Y10" s="3"/>
      <c r="Z10" s="3"/>
      <c r="AA10" s="67"/>
      <c r="AB10" s="68"/>
    </row>
    <row r="11" spans="1:28" s="5" customFormat="1" ht="33.75" customHeight="1">
      <c r="A11" s="170" t="s">
        <v>219</v>
      </c>
      <c r="B11" s="156">
        <f>C11+Q11+AB11</f>
        <v>91812880</v>
      </c>
      <c r="C11" s="50">
        <f>SUM(D11:K11)</f>
        <v>73752689</v>
      </c>
      <c r="D11" s="3">
        <v>13723131</v>
      </c>
      <c r="E11" s="3">
        <v>13103176</v>
      </c>
      <c r="F11" s="3">
        <v>1429905</v>
      </c>
      <c r="G11" s="3">
        <v>30548967</v>
      </c>
      <c r="H11" s="242" t="s">
        <v>913</v>
      </c>
      <c r="I11" s="3">
        <v>3118905</v>
      </c>
      <c r="J11" s="3">
        <v>24507</v>
      </c>
      <c r="K11" s="74">
        <v>11804098</v>
      </c>
      <c r="L11" s="240" t="s">
        <v>913</v>
      </c>
      <c r="M11" s="240" t="s">
        <v>913</v>
      </c>
      <c r="N11" s="240" t="s">
        <v>913</v>
      </c>
      <c r="O11" s="240" t="s">
        <v>913</v>
      </c>
      <c r="P11" s="170" t="s">
        <v>220</v>
      </c>
      <c r="Q11" s="3">
        <f>SUM(R11:AA11)</f>
        <v>17414872</v>
      </c>
      <c r="R11" s="74">
        <v>441361</v>
      </c>
      <c r="S11" s="74">
        <v>4054889</v>
      </c>
      <c r="T11" s="283" t="s">
        <v>913</v>
      </c>
      <c r="U11" s="3">
        <v>3496503</v>
      </c>
      <c r="V11" s="9">
        <v>3738352</v>
      </c>
      <c r="W11" s="3">
        <v>4545260</v>
      </c>
      <c r="X11" s="3">
        <v>254025</v>
      </c>
      <c r="Y11" s="3">
        <v>881323</v>
      </c>
      <c r="Z11" s="3">
        <v>3159</v>
      </c>
      <c r="AA11" s="283" t="s">
        <v>913</v>
      </c>
      <c r="AB11" s="68">
        <v>645319</v>
      </c>
    </row>
    <row r="12" spans="1:28" s="5" customFormat="1" ht="33.75" customHeight="1">
      <c r="A12" s="170" t="s">
        <v>221</v>
      </c>
      <c r="B12" s="156">
        <f>C12+Q12+AB12</f>
        <v>151406238</v>
      </c>
      <c r="C12" s="50">
        <f>SUM(D12:K12)</f>
        <v>132113804</v>
      </c>
      <c r="D12" s="3">
        <v>10130569</v>
      </c>
      <c r="E12" s="3">
        <v>13999610</v>
      </c>
      <c r="F12" s="3">
        <v>1285238</v>
      </c>
      <c r="G12" s="3">
        <v>36263969</v>
      </c>
      <c r="H12" s="9">
        <v>4570426</v>
      </c>
      <c r="I12" s="3">
        <v>3692066</v>
      </c>
      <c r="J12" s="3">
        <v>23017</v>
      </c>
      <c r="K12" s="74">
        <f>61025011+1123898</f>
        <v>62148909</v>
      </c>
      <c r="L12" s="240" t="s">
        <v>913</v>
      </c>
      <c r="M12" s="240" t="s">
        <v>913</v>
      </c>
      <c r="N12" s="240" t="s">
        <v>913</v>
      </c>
      <c r="O12" s="240" t="s">
        <v>913</v>
      </c>
      <c r="P12" s="170" t="s">
        <v>222</v>
      </c>
      <c r="Q12" s="67">
        <f>SUM(R12:AA12)</f>
        <v>18563339</v>
      </c>
      <c r="R12" s="82">
        <v>430076</v>
      </c>
      <c r="S12" s="82">
        <v>4173158</v>
      </c>
      <c r="T12" s="283" t="s">
        <v>913</v>
      </c>
      <c r="U12" s="67">
        <v>3623414</v>
      </c>
      <c r="V12" s="73">
        <v>4446953</v>
      </c>
      <c r="W12" s="67">
        <v>4498479</v>
      </c>
      <c r="X12" s="67">
        <v>276124</v>
      </c>
      <c r="Y12" s="67">
        <v>1113483</v>
      </c>
      <c r="Z12" s="67">
        <v>1652</v>
      </c>
      <c r="AA12" s="283" t="s">
        <v>913</v>
      </c>
      <c r="AB12" s="68">
        <v>729095</v>
      </c>
    </row>
    <row r="13" spans="1:28" s="5" customFormat="1" ht="33.75" customHeight="1">
      <c r="A13" s="170" t="s">
        <v>223</v>
      </c>
      <c r="B13" s="156">
        <v>160658188</v>
      </c>
      <c r="C13" s="50">
        <v>138550890</v>
      </c>
      <c r="D13" s="3">
        <v>15105348</v>
      </c>
      <c r="E13" s="3">
        <v>12569844</v>
      </c>
      <c r="F13" s="3">
        <v>1950080</v>
      </c>
      <c r="G13" s="3">
        <v>43091411</v>
      </c>
      <c r="H13" s="9">
        <v>2505374</v>
      </c>
      <c r="I13" s="3">
        <v>3152782</v>
      </c>
      <c r="J13" s="3">
        <v>22553</v>
      </c>
      <c r="K13" s="74">
        <v>60153498</v>
      </c>
      <c r="L13" s="240" t="s">
        <v>851</v>
      </c>
      <c r="M13" s="240" t="s">
        <v>851</v>
      </c>
      <c r="N13" s="240" t="s">
        <v>851</v>
      </c>
      <c r="O13" s="240" t="s">
        <v>851</v>
      </c>
      <c r="P13" s="170" t="s">
        <v>224</v>
      </c>
      <c r="Q13" s="67">
        <v>21445121</v>
      </c>
      <c r="R13" s="82">
        <v>494348</v>
      </c>
      <c r="S13" s="82">
        <v>4416101</v>
      </c>
      <c r="T13" s="283" t="s">
        <v>851</v>
      </c>
      <c r="U13" s="67">
        <v>3870448</v>
      </c>
      <c r="V13" s="73">
        <v>6330933</v>
      </c>
      <c r="W13" s="67">
        <v>4692942</v>
      </c>
      <c r="X13" s="67">
        <v>280960</v>
      </c>
      <c r="Y13" s="67">
        <v>1358575</v>
      </c>
      <c r="Z13" s="67">
        <v>814</v>
      </c>
      <c r="AA13" s="283" t="s">
        <v>913</v>
      </c>
      <c r="AB13" s="68">
        <v>662177</v>
      </c>
    </row>
    <row r="14" spans="1:28" s="5" customFormat="1" ht="12" customHeight="1">
      <c r="A14" s="170"/>
      <c r="B14" s="156"/>
      <c r="C14" s="50"/>
      <c r="D14" s="3"/>
      <c r="E14" s="3"/>
      <c r="F14" s="3"/>
      <c r="G14" s="3"/>
      <c r="H14" s="9"/>
      <c r="I14" s="3"/>
      <c r="J14" s="3"/>
      <c r="K14" s="74"/>
      <c r="L14" s="3"/>
      <c r="M14" s="3"/>
      <c r="N14" s="3"/>
      <c r="O14" s="3"/>
      <c r="P14" s="170"/>
      <c r="Q14" s="67"/>
      <c r="R14" s="82"/>
      <c r="S14" s="82"/>
      <c r="T14" s="67"/>
      <c r="U14" s="67"/>
      <c r="V14" s="73"/>
      <c r="W14" s="67"/>
      <c r="X14" s="67"/>
      <c r="Y14" s="67"/>
      <c r="Z14" s="67"/>
      <c r="AA14" s="67"/>
      <c r="AB14" s="68"/>
    </row>
    <row r="15" spans="1:28" s="5" customFormat="1" ht="33.75" customHeight="1">
      <c r="A15" s="170" t="s">
        <v>225</v>
      </c>
      <c r="B15" s="314">
        <f>C15+Q15+AB15</f>
        <v>187989578</v>
      </c>
      <c r="C15" s="315">
        <f>SUM(D15:K15)</f>
        <v>162072181</v>
      </c>
      <c r="D15" s="74">
        <v>16305647</v>
      </c>
      <c r="E15" s="74">
        <v>15772489</v>
      </c>
      <c r="F15" s="74">
        <v>2427799</v>
      </c>
      <c r="G15" s="74">
        <v>51511113</v>
      </c>
      <c r="H15" s="316">
        <v>2267602</v>
      </c>
      <c r="I15" s="74">
        <v>3715224</v>
      </c>
      <c r="J15" s="74">
        <v>27950</v>
      </c>
      <c r="K15" s="74">
        <v>70044357</v>
      </c>
      <c r="L15" s="310" t="s">
        <v>913</v>
      </c>
      <c r="M15" s="310" t="s">
        <v>913</v>
      </c>
      <c r="N15" s="310" t="s">
        <v>913</v>
      </c>
      <c r="O15" s="310" t="s">
        <v>913</v>
      </c>
      <c r="P15" s="170" t="s">
        <v>226</v>
      </c>
      <c r="Q15" s="82">
        <f>SUM(R15:AA15)</f>
        <v>25191974</v>
      </c>
      <c r="R15" s="82">
        <v>538461</v>
      </c>
      <c r="S15" s="82">
        <v>4656294</v>
      </c>
      <c r="T15" s="311" t="s">
        <v>913</v>
      </c>
      <c r="U15" s="82">
        <v>3995847</v>
      </c>
      <c r="V15" s="161">
        <v>9286458</v>
      </c>
      <c r="W15" s="82">
        <v>4935230</v>
      </c>
      <c r="X15" s="82">
        <v>277123</v>
      </c>
      <c r="Y15" s="82">
        <v>1501770</v>
      </c>
      <c r="Z15" s="82">
        <v>791</v>
      </c>
      <c r="AA15" s="311" t="s">
        <v>913</v>
      </c>
      <c r="AB15" s="69">
        <v>725423</v>
      </c>
    </row>
    <row r="16" spans="1:28" s="88" customFormat="1" ht="33.75" customHeight="1">
      <c r="A16" s="170" t="s">
        <v>227</v>
      </c>
      <c r="B16" s="317">
        <f>C16+Q16+AB16</f>
        <v>196615509</v>
      </c>
      <c r="C16" s="315">
        <f>SUM(D16:K16)</f>
        <v>170601071</v>
      </c>
      <c r="D16" s="74">
        <v>22802392</v>
      </c>
      <c r="E16" s="74">
        <v>18514488</v>
      </c>
      <c r="F16" s="74">
        <v>2014183</v>
      </c>
      <c r="G16" s="74">
        <v>57044790</v>
      </c>
      <c r="H16" s="316">
        <v>2815448</v>
      </c>
      <c r="I16" s="74">
        <v>2733970</v>
      </c>
      <c r="J16" s="74">
        <v>21317</v>
      </c>
      <c r="K16" s="74">
        <v>64654483</v>
      </c>
      <c r="L16" s="310" t="s">
        <v>913</v>
      </c>
      <c r="M16" s="310" t="s">
        <v>913</v>
      </c>
      <c r="N16" s="310" t="s">
        <v>913</v>
      </c>
      <c r="O16" s="310" t="s">
        <v>913</v>
      </c>
      <c r="P16" s="170" t="s">
        <v>228</v>
      </c>
      <c r="Q16" s="82">
        <f>SUM(R16:AA16)</f>
        <v>25324235</v>
      </c>
      <c r="R16" s="82">
        <v>598954</v>
      </c>
      <c r="S16" s="82">
        <v>4896873</v>
      </c>
      <c r="T16" s="311" t="s">
        <v>913</v>
      </c>
      <c r="U16" s="82">
        <v>4084209</v>
      </c>
      <c r="V16" s="161">
        <v>8845326</v>
      </c>
      <c r="W16" s="82">
        <v>5029758</v>
      </c>
      <c r="X16" s="82">
        <v>294912</v>
      </c>
      <c r="Y16" s="82">
        <v>1526625</v>
      </c>
      <c r="Z16" s="82">
        <v>551</v>
      </c>
      <c r="AA16" s="82">
        <v>47027</v>
      </c>
      <c r="AB16" s="69">
        <v>690203</v>
      </c>
    </row>
    <row r="17" spans="1:28" s="88" customFormat="1" ht="33.75" customHeight="1">
      <c r="A17" s="170" t="s">
        <v>229</v>
      </c>
      <c r="B17" s="317">
        <f>C17+Q17+AB17</f>
        <v>196878560</v>
      </c>
      <c r="C17" s="315">
        <f>SUM(D17:K17)</f>
        <v>171097185</v>
      </c>
      <c r="D17" s="74">
        <v>25032036</v>
      </c>
      <c r="E17" s="74">
        <v>21632641</v>
      </c>
      <c r="F17" s="74">
        <v>2057517</v>
      </c>
      <c r="G17" s="74">
        <v>50170162</v>
      </c>
      <c r="H17" s="316">
        <v>2932979</v>
      </c>
      <c r="I17" s="74">
        <v>3782829</v>
      </c>
      <c r="J17" s="74">
        <v>10673</v>
      </c>
      <c r="K17" s="74">
        <v>65478348</v>
      </c>
      <c r="L17" s="310" t="s">
        <v>913</v>
      </c>
      <c r="M17" s="310" t="s">
        <v>913</v>
      </c>
      <c r="N17" s="310" t="s">
        <v>913</v>
      </c>
      <c r="O17" s="310" t="s">
        <v>913</v>
      </c>
      <c r="P17" s="170" t="s">
        <v>230</v>
      </c>
      <c r="Q17" s="82">
        <f>SUM(R17:AA17)</f>
        <v>24910134</v>
      </c>
      <c r="R17" s="82">
        <v>642273</v>
      </c>
      <c r="S17" s="82">
        <v>4999048</v>
      </c>
      <c r="T17" s="311" t="s">
        <v>913</v>
      </c>
      <c r="U17" s="82">
        <v>4042396</v>
      </c>
      <c r="V17" s="161">
        <v>7930559</v>
      </c>
      <c r="W17" s="82">
        <v>5300960</v>
      </c>
      <c r="X17" s="82">
        <v>327976</v>
      </c>
      <c r="Y17" s="82">
        <v>1617370</v>
      </c>
      <c r="Z17" s="82">
        <v>482</v>
      </c>
      <c r="AA17" s="82">
        <v>49070</v>
      </c>
      <c r="AB17" s="69">
        <v>871241</v>
      </c>
    </row>
    <row r="18" spans="1:28" s="88" customFormat="1" ht="12" customHeight="1">
      <c r="A18" s="170"/>
      <c r="B18" s="317"/>
      <c r="C18" s="315"/>
      <c r="D18" s="74"/>
      <c r="E18" s="74"/>
      <c r="F18" s="74"/>
      <c r="G18" s="74"/>
      <c r="H18" s="316"/>
      <c r="I18" s="74"/>
      <c r="J18" s="74"/>
      <c r="K18" s="74"/>
      <c r="L18" s="74"/>
      <c r="M18" s="74"/>
      <c r="N18" s="74"/>
      <c r="O18" s="74"/>
      <c r="P18" s="170"/>
      <c r="Q18" s="82"/>
      <c r="R18" s="82"/>
      <c r="S18" s="82"/>
      <c r="T18" s="82"/>
      <c r="U18" s="82"/>
      <c r="V18" s="161"/>
      <c r="W18" s="82"/>
      <c r="X18" s="82"/>
      <c r="Y18" s="82"/>
      <c r="Z18" s="82"/>
      <c r="AA18" s="82"/>
      <c r="AB18" s="69"/>
    </row>
    <row r="19" spans="1:28" s="88" customFormat="1" ht="33.75" customHeight="1" thickBot="1">
      <c r="A19" s="171" t="s">
        <v>231</v>
      </c>
      <c r="B19" s="318">
        <f>C19+Q19+AB19</f>
        <v>148537220</v>
      </c>
      <c r="C19" s="319">
        <f>SUM(D19:K19)</f>
        <v>122933094</v>
      </c>
      <c r="D19" s="320">
        <v>27780441</v>
      </c>
      <c r="E19" s="320">
        <v>22647946</v>
      </c>
      <c r="F19" s="320">
        <v>1914128</v>
      </c>
      <c r="G19" s="320">
        <v>50075352</v>
      </c>
      <c r="H19" s="321">
        <v>3272057</v>
      </c>
      <c r="I19" s="320">
        <v>5425663</v>
      </c>
      <c r="J19" s="320">
        <v>31744</v>
      </c>
      <c r="K19" s="320">
        <v>11785763</v>
      </c>
      <c r="L19" s="323" t="s">
        <v>913</v>
      </c>
      <c r="M19" s="323" t="s">
        <v>913</v>
      </c>
      <c r="N19" s="323" t="s">
        <v>913</v>
      </c>
      <c r="O19" s="323" t="s">
        <v>913</v>
      </c>
      <c r="P19" s="171" t="s">
        <v>231</v>
      </c>
      <c r="Q19" s="83">
        <f>SUM(R19:AA19)</f>
        <v>24848484</v>
      </c>
      <c r="R19" s="83">
        <v>591084</v>
      </c>
      <c r="S19" s="83">
        <v>5099088</v>
      </c>
      <c r="T19" s="312" t="s">
        <v>913</v>
      </c>
      <c r="U19" s="83">
        <v>4527370</v>
      </c>
      <c r="V19" s="85">
        <v>7249770</v>
      </c>
      <c r="W19" s="83">
        <v>5662339</v>
      </c>
      <c r="X19" s="83">
        <v>282139</v>
      </c>
      <c r="Y19" s="83">
        <v>1403337</v>
      </c>
      <c r="Z19" s="83">
        <v>167</v>
      </c>
      <c r="AA19" s="83">
        <v>33190</v>
      </c>
      <c r="AB19" s="84">
        <v>755642</v>
      </c>
    </row>
    <row r="20" spans="1:29" s="325" customFormat="1" ht="14.25" customHeight="1">
      <c r="A20" s="324" t="s">
        <v>235</v>
      </c>
      <c r="H20" s="157" t="s">
        <v>236</v>
      </c>
      <c r="V20" s="199"/>
      <c r="W20" s="199"/>
      <c r="X20" s="199"/>
      <c r="Y20" s="199"/>
      <c r="Z20" s="199"/>
      <c r="AA20" s="199"/>
      <c r="AB20" s="199"/>
      <c r="AC20" s="199"/>
    </row>
    <row r="21" spans="1:29" s="325" customFormat="1" ht="14.25" customHeight="1">
      <c r="A21" s="324" t="s">
        <v>241</v>
      </c>
      <c r="H21" s="157" t="s">
        <v>237</v>
      </c>
      <c r="V21" s="199"/>
      <c r="W21" s="199"/>
      <c r="X21" s="199"/>
      <c r="Y21" s="199"/>
      <c r="Z21" s="199"/>
      <c r="AA21" s="199"/>
      <c r="AB21" s="199"/>
      <c r="AC21" s="199"/>
    </row>
    <row r="22" spans="1:28" s="325" customFormat="1" ht="14.25" customHeight="1">
      <c r="A22" s="324" t="s">
        <v>242</v>
      </c>
      <c r="H22" s="326" t="s">
        <v>243</v>
      </c>
      <c r="V22" s="199"/>
      <c r="AA22" s="199"/>
      <c r="AB22" s="199"/>
    </row>
    <row r="23" spans="1:28" s="325" customFormat="1" ht="14.25" customHeight="1">
      <c r="A23" s="324" t="s">
        <v>244</v>
      </c>
      <c r="H23" s="326" t="s">
        <v>245</v>
      </c>
      <c r="V23" s="199"/>
      <c r="AA23" s="199"/>
      <c r="AB23" s="199"/>
    </row>
    <row r="24" spans="1:28" s="325" customFormat="1" ht="14.25" customHeight="1">
      <c r="A24" s="324" t="s">
        <v>246</v>
      </c>
      <c r="H24" s="326" t="s">
        <v>247</v>
      </c>
      <c r="V24" s="199"/>
      <c r="AA24" s="199"/>
      <c r="AB24" s="199"/>
    </row>
    <row r="25" spans="1:8" s="52" customFormat="1" ht="14.25" customHeight="1">
      <c r="A25" s="324" t="s">
        <v>248</v>
      </c>
      <c r="H25" s="157" t="s">
        <v>238</v>
      </c>
    </row>
    <row r="26" spans="1:8" s="52" customFormat="1" ht="14.25" customHeight="1">
      <c r="A26" s="324" t="s">
        <v>249</v>
      </c>
      <c r="H26" s="326" t="s">
        <v>250</v>
      </c>
    </row>
    <row r="27" s="14" customFormat="1" ht="14.25" customHeight="1"/>
    <row r="28" s="140" customFormat="1" ht="14.25" customHeight="1"/>
  </sheetData>
  <mergeCells count="13">
    <mergeCell ref="A4:A6"/>
    <mergeCell ref="AB4:AB5"/>
    <mergeCell ref="V2:AB2"/>
    <mergeCell ref="B4:B5"/>
    <mergeCell ref="Q4:U4"/>
    <mergeCell ref="P2:U2"/>
    <mergeCell ref="H2:O2"/>
    <mergeCell ref="A2:G2"/>
    <mergeCell ref="P4:P6"/>
    <mergeCell ref="C4:G4"/>
    <mergeCell ref="I4:J4"/>
    <mergeCell ref="L4:M4"/>
    <mergeCell ref="N4:O4"/>
  </mergeCells>
  <printOptions/>
  <pageMargins left="1.1811023622047245" right="1.1811023622047245" top="1.5748031496062993" bottom="1.5748031496062993" header="0.5118110236220472" footer="0.9055118110236221"/>
  <pageSetup firstPageNumber="274" useFirstPageNumber="1" horizontalDpi="600" verticalDpi="600" orientation="portrait" paperSize="9" r:id="rId1"/>
  <headerFooter alignWithMargins="0">
    <oddFooter>&amp;C&amp;"華康中黑體,標準"&amp;11‧&amp;"Times New Roman,標準"&amp;P&amp;"華康中黑體,標準"‧</oddFooter>
  </headerFooter>
  <colBreaks count="1" manualBreakCount="1">
    <brk id="15" max="65535" man="1"/>
  </colBreaks>
</worksheet>
</file>

<file path=xl/worksheets/sheet11.xml><?xml version="1.0" encoding="utf-8"?>
<worksheet xmlns="http://schemas.openxmlformats.org/spreadsheetml/2006/main" xmlns:r="http://schemas.openxmlformats.org/officeDocument/2006/relationships">
  <sheetPr>
    <tabColor indexed="17"/>
  </sheetPr>
  <dimension ref="A1:K33"/>
  <sheetViews>
    <sheetView showGridLines="0" zoomScale="120" zoomScaleNormal="120" workbookViewId="0" topLeftCell="A1">
      <selection activeCell="A1" sqref="A1"/>
    </sheetView>
  </sheetViews>
  <sheetFormatPr defaultColWidth="9.00390625" defaultRowHeight="16.5"/>
  <cols>
    <col min="1" max="1" width="12.125" style="13" customWidth="1"/>
    <col min="2" max="2" width="17.125" style="13" customWidth="1"/>
    <col min="3" max="5" width="15.125" style="13" customWidth="1"/>
    <col min="6" max="6" width="15.625" style="13" customWidth="1"/>
    <col min="7" max="7" width="14.625" style="13" customWidth="1"/>
    <col min="8" max="8" width="15.625" style="13" customWidth="1"/>
    <col min="9" max="10" width="14.625" style="13" customWidth="1"/>
    <col min="11" max="16384" width="9.00390625" style="13" customWidth="1"/>
  </cols>
  <sheetData>
    <row r="1" spans="1:10" s="14" customFormat="1" ht="19.5" customHeight="1">
      <c r="A1" s="177" t="s">
        <v>823</v>
      </c>
      <c r="D1" s="26"/>
      <c r="E1" s="26"/>
      <c r="F1" s="26"/>
      <c r="G1" s="26"/>
      <c r="H1" s="26"/>
      <c r="I1" s="26"/>
      <c r="J1" s="49" t="s">
        <v>833</v>
      </c>
    </row>
    <row r="2" spans="1:11" s="16" customFormat="1" ht="24.75" customHeight="1">
      <c r="A2" s="434" t="s">
        <v>980</v>
      </c>
      <c r="B2" s="433"/>
      <c r="C2" s="433"/>
      <c r="D2" s="433"/>
      <c r="E2" s="433"/>
      <c r="F2" s="433" t="s">
        <v>981</v>
      </c>
      <c r="G2" s="433"/>
      <c r="H2" s="433"/>
      <c r="I2" s="433"/>
      <c r="J2" s="433"/>
      <c r="K2" s="44"/>
    </row>
    <row r="3" spans="1:10" s="14" customFormat="1" ht="15" customHeight="1" thickBot="1">
      <c r="A3" s="6"/>
      <c r="B3" s="1"/>
      <c r="C3" s="15"/>
      <c r="D3" s="15"/>
      <c r="E3" s="176" t="s">
        <v>239</v>
      </c>
      <c r="F3" s="42"/>
      <c r="G3" s="15"/>
      <c r="H3" s="15"/>
      <c r="J3" s="25" t="s">
        <v>240</v>
      </c>
    </row>
    <row r="4" spans="1:10" s="14" customFormat="1" ht="19.5" customHeight="1">
      <c r="A4" s="460" t="s">
        <v>251</v>
      </c>
      <c r="B4" s="461"/>
      <c r="C4" s="458" t="s">
        <v>252</v>
      </c>
      <c r="D4" s="466" t="s">
        <v>253</v>
      </c>
      <c r="E4" s="410"/>
      <c r="F4" s="86"/>
      <c r="G4" s="86" t="s">
        <v>254</v>
      </c>
      <c r="H4" s="86"/>
      <c r="I4" s="87"/>
      <c r="J4" s="419" t="s">
        <v>255</v>
      </c>
    </row>
    <row r="5" spans="1:10" s="14" customFormat="1" ht="27" customHeight="1">
      <c r="A5" s="462"/>
      <c r="B5" s="463"/>
      <c r="C5" s="459"/>
      <c r="D5" s="306" t="s">
        <v>256</v>
      </c>
      <c r="E5" s="306" t="s">
        <v>257</v>
      </c>
      <c r="F5" s="298" t="s">
        <v>258</v>
      </c>
      <c r="G5" s="306" t="s">
        <v>259</v>
      </c>
      <c r="H5" s="298" t="s">
        <v>260</v>
      </c>
      <c r="I5" s="298" t="s">
        <v>261</v>
      </c>
      <c r="J5" s="457"/>
    </row>
    <row r="6" spans="1:10" s="14" customFormat="1" ht="27" customHeight="1" thickBot="1">
      <c r="A6" s="464"/>
      <c r="B6" s="465"/>
      <c r="C6" s="38" t="s">
        <v>262</v>
      </c>
      <c r="D6" s="89" t="s">
        <v>263</v>
      </c>
      <c r="E6" s="39" t="s">
        <v>264</v>
      </c>
      <c r="F6" s="12" t="s">
        <v>265</v>
      </c>
      <c r="G6" s="39" t="s">
        <v>266</v>
      </c>
      <c r="H6" s="12" t="s">
        <v>267</v>
      </c>
      <c r="I6" s="12"/>
      <c r="J6" s="40" t="s">
        <v>268</v>
      </c>
    </row>
    <row r="7" spans="1:10" s="1" customFormat="1" ht="18.75" customHeight="1">
      <c r="A7" s="335" t="s">
        <v>269</v>
      </c>
      <c r="B7" s="110">
        <v>1998</v>
      </c>
      <c r="C7" s="2">
        <v>37279614</v>
      </c>
      <c r="D7" s="9">
        <v>37277827</v>
      </c>
      <c r="E7" s="3">
        <v>12531722</v>
      </c>
      <c r="F7" s="9">
        <v>10345055</v>
      </c>
      <c r="G7" s="9">
        <v>12662719</v>
      </c>
      <c r="H7" s="9">
        <v>1738331</v>
      </c>
      <c r="I7" s="242" t="s">
        <v>270</v>
      </c>
      <c r="J7" s="15">
        <v>1787</v>
      </c>
    </row>
    <row r="8" spans="1:10" s="1" customFormat="1" ht="18.75" customHeight="1" thickBot="1">
      <c r="A8" s="6" t="s">
        <v>271</v>
      </c>
      <c r="B8" s="327">
        <v>1999</v>
      </c>
      <c r="C8" s="7">
        <v>36336921</v>
      </c>
      <c r="D8" s="10">
        <v>36336921</v>
      </c>
      <c r="E8" s="8">
        <v>12227886</v>
      </c>
      <c r="F8" s="10">
        <v>9900606</v>
      </c>
      <c r="G8" s="10">
        <v>12376378</v>
      </c>
      <c r="H8" s="10">
        <v>1832051</v>
      </c>
      <c r="I8" s="244" t="s">
        <v>270</v>
      </c>
      <c r="J8" s="337" t="s">
        <v>270</v>
      </c>
    </row>
    <row r="9" spans="1:10" s="14" customFormat="1" ht="19.5" customHeight="1">
      <c r="A9" s="460" t="s">
        <v>251</v>
      </c>
      <c r="B9" s="461"/>
      <c r="C9" s="458" t="s">
        <v>252</v>
      </c>
      <c r="D9" s="466" t="s">
        <v>253</v>
      </c>
      <c r="E9" s="410"/>
      <c r="F9" s="86"/>
      <c r="G9" s="86" t="s">
        <v>254</v>
      </c>
      <c r="H9" s="86"/>
      <c r="I9" s="87"/>
      <c r="J9" s="419" t="s">
        <v>255</v>
      </c>
    </row>
    <row r="10" spans="1:10" s="14" customFormat="1" ht="27" customHeight="1">
      <c r="A10" s="462"/>
      <c r="B10" s="463"/>
      <c r="C10" s="459"/>
      <c r="D10" s="306" t="s">
        <v>256</v>
      </c>
      <c r="E10" s="306" t="s">
        <v>272</v>
      </c>
      <c r="F10" s="298" t="s">
        <v>273</v>
      </c>
      <c r="G10" s="306" t="s">
        <v>259</v>
      </c>
      <c r="H10" s="298" t="s">
        <v>260</v>
      </c>
      <c r="I10" s="298" t="s">
        <v>261</v>
      </c>
      <c r="J10" s="457"/>
    </row>
    <row r="11" spans="1:10" s="14" customFormat="1" ht="27" customHeight="1" thickBot="1">
      <c r="A11" s="464"/>
      <c r="B11" s="465"/>
      <c r="C11" s="38" t="s">
        <v>262</v>
      </c>
      <c r="D11" s="89" t="s">
        <v>263</v>
      </c>
      <c r="E11" s="39" t="s">
        <v>274</v>
      </c>
      <c r="F11" s="12" t="s">
        <v>275</v>
      </c>
      <c r="G11" s="39" t="s">
        <v>266</v>
      </c>
      <c r="H11" s="12" t="s">
        <v>267</v>
      </c>
      <c r="I11" s="12"/>
      <c r="J11" s="40" t="s">
        <v>268</v>
      </c>
    </row>
    <row r="12" spans="1:10" s="93" customFormat="1" ht="30" customHeight="1">
      <c r="A12" s="90" t="s">
        <v>276</v>
      </c>
      <c r="B12" s="158" t="s">
        <v>277</v>
      </c>
      <c r="C12" s="91">
        <f>D12</f>
        <v>46196415</v>
      </c>
      <c r="D12" s="92">
        <f aca="true" t="shared" si="0" ref="D12:D19">SUM(E12:I12)</f>
        <v>46196415</v>
      </c>
      <c r="E12" s="32">
        <v>12021535</v>
      </c>
      <c r="F12" s="111">
        <v>10225796</v>
      </c>
      <c r="G12" s="32">
        <v>21373291</v>
      </c>
      <c r="H12" s="32">
        <v>2575793</v>
      </c>
      <c r="I12" s="338" t="s">
        <v>270</v>
      </c>
      <c r="J12" s="339" t="s">
        <v>270</v>
      </c>
    </row>
    <row r="13" spans="1:10" s="93" customFormat="1" ht="18.75" customHeight="1">
      <c r="A13" s="94" t="s">
        <v>278</v>
      </c>
      <c r="B13" s="109" t="s">
        <v>279</v>
      </c>
      <c r="C13" s="95">
        <f>D13+J13</f>
        <v>25259840</v>
      </c>
      <c r="D13" s="96">
        <f t="shared" si="0"/>
        <v>25259373</v>
      </c>
      <c r="E13" s="3">
        <v>7155554</v>
      </c>
      <c r="F13" s="9">
        <v>5197865</v>
      </c>
      <c r="G13" s="3">
        <v>11121431</v>
      </c>
      <c r="H13" s="3">
        <v>1784523</v>
      </c>
      <c r="I13" s="240" t="s">
        <v>913</v>
      </c>
      <c r="J13" s="4">
        <v>467</v>
      </c>
    </row>
    <row r="14" spans="1:10" s="93" customFormat="1" ht="18.75" customHeight="1">
      <c r="A14" s="94" t="s">
        <v>280</v>
      </c>
      <c r="B14" s="109" t="s">
        <v>281</v>
      </c>
      <c r="C14" s="95">
        <f aca="true" t="shared" si="1" ref="C14:C19">D14</f>
        <v>18075245</v>
      </c>
      <c r="D14" s="96">
        <f t="shared" si="0"/>
        <v>18075245</v>
      </c>
      <c r="E14" s="3">
        <v>2198093</v>
      </c>
      <c r="F14" s="9">
        <v>2180309</v>
      </c>
      <c r="G14" s="3">
        <v>11849770</v>
      </c>
      <c r="H14" s="3">
        <v>1847073</v>
      </c>
      <c r="I14" s="240" t="s">
        <v>913</v>
      </c>
      <c r="J14" s="340" t="s">
        <v>913</v>
      </c>
    </row>
    <row r="15" spans="1:10" s="93" customFormat="1" ht="18.75" customHeight="1">
      <c r="A15" s="94" t="s">
        <v>282</v>
      </c>
      <c r="B15" s="109" t="s">
        <v>283</v>
      </c>
      <c r="C15" s="95">
        <f t="shared" si="1"/>
        <v>17172892</v>
      </c>
      <c r="D15" s="96">
        <f t="shared" si="0"/>
        <v>17172892</v>
      </c>
      <c r="E15" s="341" t="s">
        <v>913</v>
      </c>
      <c r="F15" s="9">
        <v>1266186</v>
      </c>
      <c r="G15" s="3">
        <v>13922313</v>
      </c>
      <c r="H15" s="3">
        <v>1984393</v>
      </c>
      <c r="I15" s="240" t="s">
        <v>913</v>
      </c>
      <c r="J15" s="340" t="s">
        <v>913</v>
      </c>
    </row>
    <row r="16" spans="1:10" s="93" customFormat="1" ht="18.75" customHeight="1">
      <c r="A16" s="94" t="s">
        <v>284</v>
      </c>
      <c r="B16" s="109" t="s">
        <v>285</v>
      </c>
      <c r="C16" s="95">
        <f t="shared" si="1"/>
        <v>20866040</v>
      </c>
      <c r="D16" s="96">
        <f t="shared" si="0"/>
        <v>20866040</v>
      </c>
      <c r="E16" s="341" t="s">
        <v>913</v>
      </c>
      <c r="F16" s="9">
        <v>1857291</v>
      </c>
      <c r="G16" s="3">
        <v>16922203</v>
      </c>
      <c r="H16" s="3">
        <v>2086546</v>
      </c>
      <c r="I16" s="240" t="s">
        <v>913</v>
      </c>
      <c r="J16" s="328">
        <v>119</v>
      </c>
    </row>
    <row r="17" spans="1:10" s="93" customFormat="1" ht="18.75" customHeight="1">
      <c r="A17" s="94" t="s">
        <v>286</v>
      </c>
      <c r="B17" s="109" t="s">
        <v>287</v>
      </c>
      <c r="C17" s="162">
        <f t="shared" si="1"/>
        <v>20687356</v>
      </c>
      <c r="D17" s="162">
        <f>SUM(E17:I17)</f>
        <v>20687356</v>
      </c>
      <c r="E17" s="341" t="s">
        <v>913</v>
      </c>
      <c r="F17" s="329">
        <v>1769065</v>
      </c>
      <c r="G17" s="162">
        <v>16743146</v>
      </c>
      <c r="H17" s="162">
        <v>2128118</v>
      </c>
      <c r="I17" s="162">
        <v>47027</v>
      </c>
      <c r="J17" s="340" t="s">
        <v>913</v>
      </c>
    </row>
    <row r="18" spans="1:10" s="93" customFormat="1" ht="18.75" customHeight="1">
      <c r="A18" s="94" t="s">
        <v>288</v>
      </c>
      <c r="B18" s="109" t="s">
        <v>289</v>
      </c>
      <c r="C18" s="162">
        <f t="shared" si="1"/>
        <v>20127884</v>
      </c>
      <c r="D18" s="162">
        <f>SUM(E18:I18)</f>
        <v>20127884</v>
      </c>
      <c r="E18" s="341" t="s">
        <v>913</v>
      </c>
      <c r="F18" s="329">
        <v>1586111</v>
      </c>
      <c r="G18" s="162">
        <v>16300557</v>
      </c>
      <c r="H18" s="162">
        <v>2192146</v>
      </c>
      <c r="I18" s="162">
        <v>49070</v>
      </c>
      <c r="J18" s="340" t="s">
        <v>913</v>
      </c>
    </row>
    <row r="19" spans="1:10" s="93" customFormat="1" ht="18.75" customHeight="1">
      <c r="A19" s="94" t="s">
        <v>290</v>
      </c>
      <c r="B19" s="109" t="s">
        <v>291</v>
      </c>
      <c r="C19" s="162">
        <f t="shared" si="1"/>
        <v>19988005</v>
      </c>
      <c r="D19" s="162">
        <f t="shared" si="0"/>
        <v>19988005</v>
      </c>
      <c r="E19" s="341" t="s">
        <v>913</v>
      </c>
      <c r="F19" s="329">
        <f>SUM(F21:F30)</f>
        <v>1449954</v>
      </c>
      <c r="G19" s="162">
        <f>SUM(G21:G30)</f>
        <v>16186077</v>
      </c>
      <c r="H19" s="162">
        <f>SUM(H21:H30)</f>
        <v>2318609</v>
      </c>
      <c r="I19" s="162">
        <f>SUM(I21:I30)</f>
        <v>33365</v>
      </c>
      <c r="J19" s="340" t="s">
        <v>913</v>
      </c>
    </row>
    <row r="20" spans="1:10" s="93" customFormat="1" ht="9.75" customHeight="1">
      <c r="A20" s="97"/>
      <c r="B20" s="98"/>
      <c r="C20" s="95"/>
      <c r="D20" s="96"/>
      <c r="E20" s="96"/>
      <c r="F20" s="330"/>
      <c r="G20" s="96"/>
      <c r="H20" s="96"/>
      <c r="I20" s="96"/>
      <c r="J20" s="331"/>
    </row>
    <row r="21" spans="1:10" s="93" customFormat="1" ht="18.75" customHeight="1">
      <c r="A21" s="343" t="s">
        <v>304</v>
      </c>
      <c r="B21" s="107" t="s">
        <v>292</v>
      </c>
      <c r="C21" s="95">
        <f aca="true" t="shared" si="2" ref="C21:C26">D21</f>
        <v>3169160</v>
      </c>
      <c r="D21" s="96">
        <f aca="true" t="shared" si="3" ref="D21:D26">SUM(E21:I21)</f>
        <v>3169160</v>
      </c>
      <c r="E21" s="341" t="s">
        <v>913</v>
      </c>
      <c r="F21" s="342" t="s">
        <v>913</v>
      </c>
      <c r="G21" s="162">
        <v>2263686</v>
      </c>
      <c r="H21" s="162">
        <v>905474</v>
      </c>
      <c r="I21" s="341" t="s">
        <v>913</v>
      </c>
      <c r="J21" s="340" t="s">
        <v>913</v>
      </c>
    </row>
    <row r="22" spans="1:10" s="93" customFormat="1" ht="18.75" customHeight="1">
      <c r="A22" s="343" t="s">
        <v>816</v>
      </c>
      <c r="B22" s="107" t="s">
        <v>293</v>
      </c>
      <c r="C22" s="95">
        <f t="shared" si="2"/>
        <v>7249770</v>
      </c>
      <c r="D22" s="96">
        <f t="shared" si="3"/>
        <v>7249770</v>
      </c>
      <c r="E22" s="341" t="s">
        <v>913</v>
      </c>
      <c r="F22" s="329">
        <v>1449954</v>
      </c>
      <c r="G22" s="162">
        <v>5799816</v>
      </c>
      <c r="H22" s="341" t="s">
        <v>913</v>
      </c>
      <c r="I22" s="341" t="s">
        <v>913</v>
      </c>
      <c r="J22" s="340" t="s">
        <v>913</v>
      </c>
    </row>
    <row r="23" spans="1:10" s="93" customFormat="1" ht="18.75" customHeight="1">
      <c r="A23" s="343" t="s">
        <v>305</v>
      </c>
      <c r="B23" s="107" t="s">
        <v>294</v>
      </c>
      <c r="C23" s="95">
        <f t="shared" si="2"/>
        <v>3397402</v>
      </c>
      <c r="D23" s="96">
        <f t="shared" si="3"/>
        <v>3397402</v>
      </c>
      <c r="E23" s="341" t="s">
        <v>913</v>
      </c>
      <c r="F23" s="342" t="s">
        <v>913</v>
      </c>
      <c r="G23" s="162">
        <v>2264934</v>
      </c>
      <c r="H23" s="162">
        <v>1132468</v>
      </c>
      <c r="I23" s="341" t="s">
        <v>913</v>
      </c>
      <c r="J23" s="340" t="s">
        <v>913</v>
      </c>
    </row>
    <row r="24" spans="1:10" s="93" customFormat="1" ht="18.75" customHeight="1">
      <c r="A24" s="343" t="s">
        <v>815</v>
      </c>
      <c r="B24" s="107" t="s">
        <v>295</v>
      </c>
      <c r="C24" s="95">
        <f t="shared" si="2"/>
        <v>5099088</v>
      </c>
      <c r="D24" s="96">
        <f t="shared" si="3"/>
        <v>5099088</v>
      </c>
      <c r="E24" s="341" t="s">
        <v>913</v>
      </c>
      <c r="F24" s="342" t="s">
        <v>913</v>
      </c>
      <c r="G24" s="162">
        <v>5099088</v>
      </c>
      <c r="H24" s="341" t="s">
        <v>913</v>
      </c>
      <c r="I24" s="341" t="s">
        <v>913</v>
      </c>
      <c r="J24" s="340" t="s">
        <v>913</v>
      </c>
    </row>
    <row r="25" spans="1:10" s="93" customFormat="1" ht="18.75" customHeight="1">
      <c r="A25" s="343" t="s">
        <v>306</v>
      </c>
      <c r="B25" s="107" t="s">
        <v>296</v>
      </c>
      <c r="C25" s="95">
        <f t="shared" si="2"/>
        <v>280667</v>
      </c>
      <c r="D25" s="96">
        <f t="shared" si="3"/>
        <v>280667</v>
      </c>
      <c r="E25" s="341" t="s">
        <v>913</v>
      </c>
      <c r="F25" s="342" t="s">
        <v>913</v>
      </c>
      <c r="G25" s="341" t="s">
        <v>913</v>
      </c>
      <c r="H25" s="162">
        <v>280667</v>
      </c>
      <c r="I25" s="341" t="s">
        <v>913</v>
      </c>
      <c r="J25" s="340" t="s">
        <v>913</v>
      </c>
    </row>
    <row r="26" spans="1:10" s="93" customFormat="1" ht="18.75" customHeight="1">
      <c r="A26" s="343" t="s">
        <v>307</v>
      </c>
      <c r="B26" s="107" t="s">
        <v>297</v>
      </c>
      <c r="C26" s="95">
        <f t="shared" si="2"/>
        <v>591084</v>
      </c>
      <c r="D26" s="96">
        <f t="shared" si="3"/>
        <v>591084</v>
      </c>
      <c r="E26" s="341" t="s">
        <v>913</v>
      </c>
      <c r="F26" s="342" t="s">
        <v>913</v>
      </c>
      <c r="G26" s="332">
        <v>591084</v>
      </c>
      <c r="H26" s="341" t="s">
        <v>913</v>
      </c>
      <c r="I26" s="341" t="s">
        <v>913</v>
      </c>
      <c r="J26" s="340" t="s">
        <v>913</v>
      </c>
    </row>
    <row r="27" spans="1:10" s="93" customFormat="1" ht="18.75" customHeight="1">
      <c r="A27" s="343" t="s">
        <v>308</v>
      </c>
      <c r="B27" s="107" t="s">
        <v>298</v>
      </c>
      <c r="C27" s="344" t="s">
        <v>913</v>
      </c>
      <c r="D27" s="341" t="s">
        <v>913</v>
      </c>
      <c r="E27" s="341" t="s">
        <v>913</v>
      </c>
      <c r="F27" s="342" t="s">
        <v>913</v>
      </c>
      <c r="G27" s="341" t="s">
        <v>913</v>
      </c>
      <c r="H27" s="341" t="s">
        <v>913</v>
      </c>
      <c r="I27" s="341" t="s">
        <v>913</v>
      </c>
      <c r="J27" s="340" t="s">
        <v>913</v>
      </c>
    </row>
    <row r="28" spans="1:10" s="93" customFormat="1" ht="18.75" customHeight="1">
      <c r="A28" s="343" t="s">
        <v>309</v>
      </c>
      <c r="B28" s="107" t="s">
        <v>299</v>
      </c>
      <c r="C28" s="95">
        <f>D28</f>
        <v>167</v>
      </c>
      <c r="D28" s="96">
        <f>SUM(E28:I28)</f>
        <v>167</v>
      </c>
      <c r="E28" s="341" t="s">
        <v>913</v>
      </c>
      <c r="F28" s="342" t="s">
        <v>913</v>
      </c>
      <c r="G28" s="349">
        <v>167</v>
      </c>
      <c r="H28" s="341" t="s">
        <v>913</v>
      </c>
      <c r="I28" s="341" t="s">
        <v>913</v>
      </c>
      <c r="J28" s="340" t="s">
        <v>913</v>
      </c>
    </row>
    <row r="29" spans="1:10" s="93" customFormat="1" ht="18.75" customHeight="1">
      <c r="A29" s="343" t="s">
        <v>310</v>
      </c>
      <c r="B29" s="163" t="s">
        <v>300</v>
      </c>
      <c r="C29" s="95">
        <f>D29</f>
        <v>33365</v>
      </c>
      <c r="D29" s="96">
        <f>SUM(E29:I29)</f>
        <v>33365</v>
      </c>
      <c r="E29" s="341" t="s">
        <v>913</v>
      </c>
      <c r="F29" s="342" t="s">
        <v>913</v>
      </c>
      <c r="G29" s="341" t="s">
        <v>913</v>
      </c>
      <c r="H29" s="341" t="s">
        <v>913</v>
      </c>
      <c r="I29" s="162">
        <v>33365</v>
      </c>
      <c r="J29" s="340" t="s">
        <v>913</v>
      </c>
    </row>
    <row r="30" spans="1:10" s="99" customFormat="1" ht="18.75" customHeight="1" thickBot="1">
      <c r="A30" s="345" t="s">
        <v>311</v>
      </c>
      <c r="B30" s="108" t="s">
        <v>296</v>
      </c>
      <c r="C30" s="333">
        <f>D30</f>
        <v>167302</v>
      </c>
      <c r="D30" s="334">
        <f>SUM(E30:I30)</f>
        <v>167302</v>
      </c>
      <c r="E30" s="346" t="s">
        <v>913</v>
      </c>
      <c r="F30" s="347" t="s">
        <v>913</v>
      </c>
      <c r="G30" s="334">
        <v>167302</v>
      </c>
      <c r="H30" s="346" t="s">
        <v>913</v>
      </c>
      <c r="I30" s="346" t="s">
        <v>913</v>
      </c>
      <c r="J30" s="348" t="s">
        <v>913</v>
      </c>
    </row>
    <row r="31" spans="1:10" s="99" customFormat="1" ht="13.5" customHeight="1">
      <c r="A31" s="350" t="s">
        <v>301</v>
      </c>
      <c r="B31" s="100"/>
      <c r="C31" s="101"/>
      <c r="D31" s="101"/>
      <c r="E31" s="102"/>
      <c r="F31" s="102"/>
      <c r="G31" s="103"/>
      <c r="H31" s="103"/>
      <c r="I31" s="103"/>
      <c r="J31" s="103"/>
    </row>
    <row r="32" spans="1:11" s="105" customFormat="1" ht="13.5" customHeight="1">
      <c r="A32" s="350" t="s">
        <v>302</v>
      </c>
      <c r="B32" s="100"/>
      <c r="C32" s="104"/>
      <c r="D32" s="106"/>
      <c r="E32" s="106"/>
      <c r="J32" s="106"/>
      <c r="K32" s="106"/>
    </row>
    <row r="33" spans="1:11" s="105" customFormat="1" ht="13.5" customHeight="1">
      <c r="A33" s="351" t="s">
        <v>303</v>
      </c>
      <c r="C33" s="104"/>
      <c r="J33" s="106"/>
      <c r="K33" s="106"/>
    </row>
  </sheetData>
  <mergeCells count="10">
    <mergeCell ref="A2:E2"/>
    <mergeCell ref="F2:J2"/>
    <mergeCell ref="J4:J5"/>
    <mergeCell ref="C9:C10"/>
    <mergeCell ref="J9:J10"/>
    <mergeCell ref="A4:B6"/>
    <mergeCell ref="A9:B11"/>
    <mergeCell ref="D4:E4"/>
    <mergeCell ref="D9:E9"/>
    <mergeCell ref="C4:C5"/>
  </mergeCells>
  <printOptions/>
  <pageMargins left="1.1811023622047245" right="1.1811023622047245" top="1.5748031496062993" bottom="1.5748031496062993" header="0.5118110236220472" footer="0.9055118110236221"/>
  <pageSetup firstPageNumber="278"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12.xml><?xml version="1.0" encoding="utf-8"?>
<worksheet xmlns="http://schemas.openxmlformats.org/spreadsheetml/2006/main" xmlns:r="http://schemas.openxmlformats.org/officeDocument/2006/relationships">
  <sheetPr>
    <tabColor indexed="17"/>
  </sheetPr>
  <dimension ref="A1:P36"/>
  <sheetViews>
    <sheetView showGridLines="0" zoomScale="120" zoomScaleNormal="120" workbookViewId="0" topLeftCell="A1">
      <selection activeCell="A1" sqref="A1"/>
    </sheetView>
  </sheetViews>
  <sheetFormatPr defaultColWidth="9.00390625" defaultRowHeight="16.5"/>
  <cols>
    <col min="1" max="1" width="11.125" style="13" customWidth="1"/>
    <col min="2" max="2" width="9.125" style="13" customWidth="1"/>
    <col min="3" max="4" width="8.625" style="13" customWidth="1"/>
    <col min="5" max="5" width="12.125" style="13" customWidth="1"/>
    <col min="6" max="6" width="8.625" style="13" customWidth="1"/>
    <col min="7" max="7" width="8.125" style="13" customWidth="1"/>
    <col min="8" max="8" width="8.625" style="13" customWidth="1"/>
    <col min="9" max="9" width="9.25390625" style="13" customWidth="1"/>
    <col min="10" max="10" width="11.625" style="13" customWidth="1"/>
    <col min="11" max="12" width="9.25390625" style="13" customWidth="1"/>
    <col min="13" max="14" width="8.125" style="13" customWidth="1"/>
    <col min="15" max="16" width="9.625" style="13" customWidth="1"/>
    <col min="17" max="16384" width="9.00390625" style="13" customWidth="1"/>
  </cols>
  <sheetData>
    <row r="1" spans="1:16" s="14" customFormat="1" ht="18" customHeight="1">
      <c r="A1" s="177" t="s">
        <v>823</v>
      </c>
      <c r="B1" s="26"/>
      <c r="C1" s="26"/>
      <c r="D1" s="26"/>
      <c r="E1" s="26"/>
      <c r="P1" s="49" t="s">
        <v>833</v>
      </c>
    </row>
    <row r="2" spans="1:16" s="16" customFormat="1" ht="24.75" customHeight="1">
      <c r="A2" s="434" t="s">
        <v>356</v>
      </c>
      <c r="B2" s="433"/>
      <c r="C2" s="433"/>
      <c r="D2" s="433"/>
      <c r="E2" s="433"/>
      <c r="F2" s="433"/>
      <c r="G2" s="433"/>
      <c r="H2" s="433"/>
      <c r="I2" s="433" t="s">
        <v>357</v>
      </c>
      <c r="J2" s="433"/>
      <c r="K2" s="433"/>
      <c r="L2" s="433"/>
      <c r="M2" s="433"/>
      <c r="N2" s="433"/>
      <c r="O2" s="433"/>
      <c r="P2" s="433"/>
    </row>
    <row r="3" spans="1:16" s="367" customFormat="1" ht="18.75" customHeight="1">
      <c r="A3" s="439" t="s">
        <v>365</v>
      </c>
      <c r="B3" s="439"/>
      <c r="C3" s="439"/>
      <c r="D3" s="439"/>
      <c r="E3" s="439"/>
      <c r="F3" s="439"/>
      <c r="G3" s="439"/>
      <c r="H3" s="439"/>
      <c r="I3" s="439" t="s">
        <v>366</v>
      </c>
      <c r="J3" s="439"/>
      <c r="K3" s="439"/>
      <c r="L3" s="439"/>
      <c r="M3" s="439"/>
      <c r="N3" s="439"/>
      <c r="O3" s="439"/>
      <c r="P3" s="439"/>
    </row>
    <row r="4" spans="1:16" s="21" customFormat="1" ht="15" customHeight="1" thickBot="1">
      <c r="A4" s="112"/>
      <c r="B4" s="30"/>
      <c r="C4" s="30"/>
      <c r="D4" s="30"/>
      <c r="E4" s="30"/>
      <c r="F4" s="30"/>
      <c r="G4" s="30"/>
      <c r="H4" s="259" t="s">
        <v>239</v>
      </c>
      <c r="I4" s="34"/>
      <c r="J4" s="34"/>
      <c r="K4" s="34"/>
      <c r="L4" s="34"/>
      <c r="M4" s="34"/>
      <c r="N4" s="34"/>
      <c r="O4" s="65"/>
      <c r="P4" s="41" t="s">
        <v>360</v>
      </c>
    </row>
    <row r="5" spans="1:16" s="21" customFormat="1" ht="19.5" customHeight="1">
      <c r="A5" s="475" t="s">
        <v>312</v>
      </c>
      <c r="B5" s="113"/>
      <c r="C5" s="114"/>
      <c r="D5" s="352" t="s">
        <v>313</v>
      </c>
      <c r="E5" s="114"/>
      <c r="F5" s="114"/>
      <c r="G5" s="352" t="s">
        <v>314</v>
      </c>
      <c r="H5" s="114"/>
      <c r="I5" s="114"/>
      <c r="J5" s="114"/>
      <c r="K5" s="114"/>
      <c r="L5" s="114" t="s">
        <v>315</v>
      </c>
      <c r="M5" s="114"/>
      <c r="N5" s="114"/>
      <c r="O5" s="114"/>
      <c r="P5" s="114"/>
    </row>
    <row r="6" spans="1:16" s="21" customFormat="1" ht="19.5" customHeight="1">
      <c r="A6" s="476"/>
      <c r="B6" s="471" t="s">
        <v>316</v>
      </c>
      <c r="C6" s="477" t="s">
        <v>317</v>
      </c>
      <c r="D6" s="478"/>
      <c r="E6" s="478"/>
      <c r="F6" s="478"/>
      <c r="G6" s="478"/>
      <c r="H6" s="478"/>
      <c r="I6" s="115"/>
      <c r="J6" s="115"/>
      <c r="K6" s="115" t="s">
        <v>318</v>
      </c>
      <c r="L6" s="115"/>
      <c r="M6" s="115"/>
      <c r="N6" s="116"/>
      <c r="O6" s="467" t="s">
        <v>319</v>
      </c>
      <c r="P6" s="469" t="s">
        <v>329</v>
      </c>
    </row>
    <row r="7" spans="1:16" s="21" customFormat="1" ht="27.75" customHeight="1">
      <c r="A7" s="473" t="s">
        <v>320</v>
      </c>
      <c r="B7" s="472"/>
      <c r="C7" s="354" t="s">
        <v>321</v>
      </c>
      <c r="D7" s="354" t="s">
        <v>322</v>
      </c>
      <c r="E7" s="355" t="s">
        <v>330</v>
      </c>
      <c r="F7" s="355" t="s">
        <v>331</v>
      </c>
      <c r="G7" s="356" t="s">
        <v>323</v>
      </c>
      <c r="H7" s="353" t="s">
        <v>324</v>
      </c>
      <c r="I7" s="354" t="s">
        <v>325</v>
      </c>
      <c r="J7" s="357" t="s">
        <v>326</v>
      </c>
      <c r="K7" s="357" t="s">
        <v>332</v>
      </c>
      <c r="L7" s="357" t="s">
        <v>333</v>
      </c>
      <c r="M7" s="356" t="s">
        <v>327</v>
      </c>
      <c r="N7" s="356" t="s">
        <v>328</v>
      </c>
      <c r="O7" s="468"/>
      <c r="P7" s="470"/>
    </row>
    <row r="8" spans="1:16" s="45" customFormat="1" ht="39.75" customHeight="1" thickBot="1">
      <c r="A8" s="474"/>
      <c r="B8" s="17" t="s">
        <v>685</v>
      </c>
      <c r="C8" s="19" t="s">
        <v>834</v>
      </c>
      <c r="D8" s="19" t="s">
        <v>686</v>
      </c>
      <c r="E8" s="19" t="s">
        <v>687</v>
      </c>
      <c r="F8" s="19" t="s">
        <v>746</v>
      </c>
      <c r="G8" s="18" t="s">
        <v>688</v>
      </c>
      <c r="H8" s="18" t="s">
        <v>747</v>
      </c>
      <c r="I8" s="19" t="s">
        <v>748</v>
      </c>
      <c r="J8" s="18" t="s">
        <v>689</v>
      </c>
      <c r="K8" s="18" t="s">
        <v>749</v>
      </c>
      <c r="L8" s="18" t="s">
        <v>690</v>
      </c>
      <c r="M8" s="18" t="s">
        <v>750</v>
      </c>
      <c r="N8" s="18" t="s">
        <v>751</v>
      </c>
      <c r="O8" s="18" t="s">
        <v>752</v>
      </c>
      <c r="P8" s="20" t="s">
        <v>753</v>
      </c>
    </row>
    <row r="9" spans="1:16" s="21" customFormat="1" ht="18" customHeight="1">
      <c r="A9" s="359" t="s">
        <v>334</v>
      </c>
      <c r="B9" s="117">
        <v>39424202</v>
      </c>
      <c r="C9" s="118">
        <v>26914329</v>
      </c>
      <c r="D9" s="118">
        <v>14914073</v>
      </c>
      <c r="E9" s="360" t="s">
        <v>835</v>
      </c>
      <c r="F9" s="118">
        <v>897163</v>
      </c>
      <c r="G9" s="119">
        <v>905987</v>
      </c>
      <c r="H9" s="361" t="s">
        <v>835</v>
      </c>
      <c r="I9" s="118">
        <v>1581324</v>
      </c>
      <c r="J9" s="360" t="s">
        <v>835</v>
      </c>
      <c r="K9" s="119">
        <v>7851882</v>
      </c>
      <c r="L9" s="118">
        <v>2911</v>
      </c>
      <c r="M9" s="118">
        <v>500000</v>
      </c>
      <c r="N9" s="119">
        <v>260989</v>
      </c>
      <c r="O9" s="119">
        <v>2366858</v>
      </c>
      <c r="P9" s="120">
        <v>10143015</v>
      </c>
    </row>
    <row r="10" spans="1:16" s="21" customFormat="1" ht="18" customHeight="1">
      <c r="A10" s="168" t="s">
        <v>335</v>
      </c>
      <c r="B10" s="117">
        <f>C10+O10+P10</f>
        <v>39998003</v>
      </c>
      <c r="C10" s="118">
        <f>SUM(D10:N10)</f>
        <v>28612415</v>
      </c>
      <c r="D10" s="118">
        <v>15928196</v>
      </c>
      <c r="E10" s="360" t="s">
        <v>835</v>
      </c>
      <c r="F10" s="118">
        <v>710208</v>
      </c>
      <c r="G10" s="119">
        <v>963016</v>
      </c>
      <c r="H10" s="361" t="s">
        <v>835</v>
      </c>
      <c r="I10" s="118">
        <v>1571776</v>
      </c>
      <c r="J10" s="360" t="s">
        <v>835</v>
      </c>
      <c r="K10" s="119">
        <v>8471397</v>
      </c>
      <c r="L10" s="118">
        <v>300428</v>
      </c>
      <c r="M10" s="118">
        <v>465880</v>
      </c>
      <c r="N10" s="119">
        <v>201514</v>
      </c>
      <c r="O10" s="119">
        <v>1397179</v>
      </c>
      <c r="P10" s="121">
        <v>9988409</v>
      </c>
    </row>
    <row r="11" spans="1:16" s="21" customFormat="1" ht="18" customHeight="1">
      <c r="A11" s="168" t="s">
        <v>336</v>
      </c>
      <c r="B11" s="117">
        <f>C11+O11+P11</f>
        <v>45656658</v>
      </c>
      <c r="C11" s="118">
        <f>SUM(D11:N11)</f>
        <v>36527878</v>
      </c>
      <c r="D11" s="118">
        <v>24386553</v>
      </c>
      <c r="E11" s="360" t="s">
        <v>674</v>
      </c>
      <c r="F11" s="118">
        <v>1540253</v>
      </c>
      <c r="G11" s="119">
        <v>1462770</v>
      </c>
      <c r="H11" s="361" t="s">
        <v>674</v>
      </c>
      <c r="I11" s="118">
        <v>1878659</v>
      </c>
      <c r="J11" s="360" t="s">
        <v>674</v>
      </c>
      <c r="K11" s="119">
        <v>5845988</v>
      </c>
      <c r="L11" s="118">
        <v>200742</v>
      </c>
      <c r="M11" s="118">
        <v>500000</v>
      </c>
      <c r="N11" s="119">
        <v>712913</v>
      </c>
      <c r="O11" s="119">
        <v>837081</v>
      </c>
      <c r="P11" s="121">
        <f>8140534+40428+110737</f>
        <v>8291699</v>
      </c>
    </row>
    <row r="12" spans="1:16" s="21" customFormat="1" ht="7.5" customHeight="1">
      <c r="A12" s="168"/>
      <c r="B12" s="117"/>
      <c r="C12" s="118"/>
      <c r="D12" s="118"/>
      <c r="E12" s="118"/>
      <c r="F12" s="118"/>
      <c r="G12" s="119"/>
      <c r="H12" s="119"/>
      <c r="I12" s="118"/>
      <c r="J12" s="118"/>
      <c r="K12" s="119"/>
      <c r="L12" s="118"/>
      <c r="M12" s="118"/>
      <c r="N12" s="119"/>
      <c r="O12" s="119"/>
      <c r="P12" s="121"/>
    </row>
    <row r="13" spans="1:16" s="21" customFormat="1" ht="18" customHeight="1">
      <c r="A13" s="168" t="s">
        <v>337</v>
      </c>
      <c r="B13" s="117">
        <f>C13+O13+P13</f>
        <v>33165750</v>
      </c>
      <c r="C13" s="118">
        <f>SUM(D13:N13)</f>
        <v>26147665</v>
      </c>
      <c r="D13" s="118">
        <v>12616184</v>
      </c>
      <c r="E13" s="360" t="s">
        <v>674</v>
      </c>
      <c r="F13" s="118">
        <v>1232024</v>
      </c>
      <c r="G13" s="119">
        <v>817662</v>
      </c>
      <c r="H13" s="361" t="s">
        <v>674</v>
      </c>
      <c r="I13" s="118">
        <f>177459+528</f>
        <v>177987</v>
      </c>
      <c r="J13" s="360" t="s">
        <v>674</v>
      </c>
      <c r="K13" s="119">
        <v>4183539</v>
      </c>
      <c r="L13" s="118">
        <v>62767</v>
      </c>
      <c r="M13" s="118">
        <v>6680500</v>
      </c>
      <c r="N13" s="119">
        <v>377002</v>
      </c>
      <c r="O13" s="119">
        <v>400189</v>
      </c>
      <c r="P13" s="121">
        <f>-600504+74756-12955+7156599</f>
        <v>6617896</v>
      </c>
    </row>
    <row r="14" spans="1:16" s="21" customFormat="1" ht="18" customHeight="1">
      <c r="A14" s="168" t="s">
        <v>338</v>
      </c>
      <c r="B14" s="117">
        <f>C14+O14+P14</f>
        <v>44231194</v>
      </c>
      <c r="C14" s="118">
        <f>SUM(D14:N14)</f>
        <v>36719052</v>
      </c>
      <c r="D14" s="118">
        <v>15521738</v>
      </c>
      <c r="E14" s="360" t="s">
        <v>674</v>
      </c>
      <c r="F14" s="118">
        <v>1297467</v>
      </c>
      <c r="G14" s="118">
        <v>855474</v>
      </c>
      <c r="H14" s="361" t="s">
        <v>674</v>
      </c>
      <c r="I14" s="118">
        <f>143393+202581</f>
        <v>345974</v>
      </c>
      <c r="J14" s="360" t="s">
        <v>674</v>
      </c>
      <c r="K14" s="118">
        <v>10452068</v>
      </c>
      <c r="L14" s="122">
        <v>145712</v>
      </c>
      <c r="M14" s="118">
        <v>6400000</v>
      </c>
      <c r="N14" s="122">
        <v>1700619</v>
      </c>
      <c r="O14" s="123">
        <v>1251389</v>
      </c>
      <c r="P14" s="121">
        <f>1434231+31295-286449+5081676</f>
        <v>6260753</v>
      </c>
    </row>
    <row r="15" spans="1:16" s="21" customFormat="1" ht="18" customHeight="1">
      <c r="A15" s="168" t="s">
        <v>339</v>
      </c>
      <c r="B15" s="117">
        <f>C15+O15+P15</f>
        <v>41802826</v>
      </c>
      <c r="C15" s="118">
        <f>SUM(D15:N15)</f>
        <v>36893817</v>
      </c>
      <c r="D15" s="118">
        <v>17503692</v>
      </c>
      <c r="E15" s="360" t="s">
        <v>851</v>
      </c>
      <c r="F15" s="118">
        <v>1305493</v>
      </c>
      <c r="G15" s="118">
        <v>873285</v>
      </c>
      <c r="H15" s="361" t="s">
        <v>851</v>
      </c>
      <c r="I15" s="118">
        <v>312391</v>
      </c>
      <c r="J15" s="360" t="s">
        <v>851</v>
      </c>
      <c r="K15" s="118">
        <v>10988554</v>
      </c>
      <c r="L15" s="122">
        <v>20305</v>
      </c>
      <c r="M15" s="118">
        <v>4670033</v>
      </c>
      <c r="N15" s="122">
        <v>1220064</v>
      </c>
      <c r="O15" s="123">
        <v>1135114</v>
      </c>
      <c r="P15" s="121">
        <f>-5081676+3825097+15555+5014919</f>
        <v>3773895</v>
      </c>
    </row>
    <row r="16" spans="1:16" s="21" customFormat="1" ht="7.5" customHeight="1">
      <c r="A16" s="168"/>
      <c r="B16" s="117"/>
      <c r="C16" s="118"/>
      <c r="D16" s="118"/>
      <c r="E16" s="118"/>
      <c r="F16" s="118"/>
      <c r="G16" s="118"/>
      <c r="H16" s="119"/>
      <c r="I16" s="118"/>
      <c r="J16" s="118"/>
      <c r="K16" s="118"/>
      <c r="L16" s="122"/>
      <c r="M16" s="118"/>
      <c r="N16" s="122"/>
      <c r="O16" s="123"/>
      <c r="P16" s="121"/>
    </row>
    <row r="17" spans="1:16" s="21" customFormat="1" ht="18" customHeight="1">
      <c r="A17" s="168" t="s">
        <v>340</v>
      </c>
      <c r="B17" s="117">
        <v>46834892</v>
      </c>
      <c r="C17" s="118">
        <f>SUM(D17:N17)</f>
        <v>45813778</v>
      </c>
      <c r="D17" s="118">
        <v>21383761</v>
      </c>
      <c r="E17" s="360" t="s">
        <v>851</v>
      </c>
      <c r="F17" s="118">
        <v>1518926</v>
      </c>
      <c r="G17" s="118">
        <v>1246112</v>
      </c>
      <c r="H17" s="361" t="s">
        <v>851</v>
      </c>
      <c r="I17" s="118">
        <v>779705</v>
      </c>
      <c r="J17" s="360" t="s">
        <v>851</v>
      </c>
      <c r="K17" s="118">
        <v>11820072</v>
      </c>
      <c r="L17" s="122">
        <v>65596</v>
      </c>
      <c r="M17" s="118">
        <v>7829968</v>
      </c>
      <c r="N17" s="122">
        <v>1169638</v>
      </c>
      <c r="O17" s="123">
        <v>1485765</v>
      </c>
      <c r="P17" s="120">
        <f>-4676205+85855+5000000-874299</f>
        <v>-464649</v>
      </c>
    </row>
    <row r="18" spans="1:16" s="21" customFormat="1" ht="18" customHeight="1">
      <c r="A18" s="168" t="s">
        <v>341</v>
      </c>
      <c r="B18" s="117">
        <v>58046268</v>
      </c>
      <c r="C18" s="118">
        <v>41076327</v>
      </c>
      <c r="D18" s="118">
        <v>21843660</v>
      </c>
      <c r="E18" s="360" t="s">
        <v>851</v>
      </c>
      <c r="F18" s="118">
        <v>1364696</v>
      </c>
      <c r="G18" s="118">
        <v>1343252</v>
      </c>
      <c r="H18" s="361" t="s">
        <v>851</v>
      </c>
      <c r="I18" s="118">
        <v>735312</v>
      </c>
      <c r="J18" s="360" t="s">
        <v>851</v>
      </c>
      <c r="K18" s="118">
        <v>9450817</v>
      </c>
      <c r="L18" s="122">
        <v>90001</v>
      </c>
      <c r="M18" s="118">
        <v>6000000</v>
      </c>
      <c r="N18" s="122">
        <v>248589</v>
      </c>
      <c r="O18" s="123">
        <v>2014656</v>
      </c>
      <c r="P18" s="120">
        <v>14955284</v>
      </c>
    </row>
    <row r="19" spans="1:16" s="21" customFormat="1" ht="18" customHeight="1">
      <c r="A19" s="168" t="s">
        <v>342</v>
      </c>
      <c r="B19" s="117">
        <v>51824741</v>
      </c>
      <c r="C19" s="118">
        <v>44410059</v>
      </c>
      <c r="D19" s="118">
        <v>21296637</v>
      </c>
      <c r="E19" s="360" t="s">
        <v>851</v>
      </c>
      <c r="F19" s="118">
        <v>1313653</v>
      </c>
      <c r="G19" s="118">
        <v>1477791</v>
      </c>
      <c r="H19" s="361" t="s">
        <v>674</v>
      </c>
      <c r="I19" s="118">
        <v>103013</v>
      </c>
      <c r="J19" s="360" t="s">
        <v>674</v>
      </c>
      <c r="K19" s="118">
        <v>8685872</v>
      </c>
      <c r="L19" s="122">
        <v>31748</v>
      </c>
      <c r="M19" s="118">
        <v>11200000</v>
      </c>
      <c r="N19" s="122">
        <f>26000+275345</f>
        <v>301345</v>
      </c>
      <c r="O19" s="123">
        <v>2021208</v>
      </c>
      <c r="P19" s="120">
        <v>5393474</v>
      </c>
    </row>
    <row r="20" spans="1:16" s="21" customFormat="1" ht="7.5" customHeight="1">
      <c r="A20" s="169"/>
      <c r="B20" s="117"/>
      <c r="C20" s="118"/>
      <c r="D20" s="118"/>
      <c r="E20" s="118"/>
      <c r="F20" s="118"/>
      <c r="G20" s="119"/>
      <c r="H20" s="119"/>
      <c r="I20" s="118"/>
      <c r="J20" s="118"/>
      <c r="K20" s="119"/>
      <c r="L20" s="118"/>
      <c r="M20" s="118"/>
      <c r="N20" s="119"/>
      <c r="O20" s="119"/>
      <c r="P20" s="120"/>
    </row>
    <row r="21" spans="1:16" s="21" customFormat="1" ht="18" customHeight="1">
      <c r="A21" s="168" t="s">
        <v>343</v>
      </c>
      <c r="B21" s="117">
        <f>C21+O21+P21</f>
        <v>54027980</v>
      </c>
      <c r="C21" s="118">
        <f>SUM(D21:N21)</f>
        <v>42610845</v>
      </c>
      <c r="D21" s="118">
        <f aca="true" t="shared" si="0" ref="D21:P21">SUM(D23:D34)</f>
        <v>21101231</v>
      </c>
      <c r="E21" s="360" t="s">
        <v>851</v>
      </c>
      <c r="F21" s="118">
        <f t="shared" si="0"/>
        <v>1494727</v>
      </c>
      <c r="G21" s="118">
        <f t="shared" si="0"/>
        <v>1325090</v>
      </c>
      <c r="H21" s="361" t="s">
        <v>674</v>
      </c>
      <c r="I21" s="118">
        <f t="shared" si="0"/>
        <v>148695</v>
      </c>
      <c r="J21" s="118">
        <f t="shared" si="0"/>
        <v>1000000</v>
      </c>
      <c r="K21" s="118">
        <f t="shared" si="0"/>
        <v>9677698</v>
      </c>
      <c r="L21" s="118">
        <f t="shared" si="0"/>
        <v>55434</v>
      </c>
      <c r="M21" s="118">
        <f t="shared" si="0"/>
        <v>7475000</v>
      </c>
      <c r="N21" s="118">
        <f t="shared" si="0"/>
        <v>332970</v>
      </c>
      <c r="O21" s="118">
        <v>2192699</v>
      </c>
      <c r="P21" s="120">
        <f t="shared" si="0"/>
        <v>9224436</v>
      </c>
    </row>
    <row r="22" spans="1:16" s="21" customFormat="1" ht="7.5" customHeight="1">
      <c r="A22" s="132"/>
      <c r="B22" s="117"/>
      <c r="C22" s="118"/>
      <c r="D22" s="118"/>
      <c r="E22" s="118"/>
      <c r="F22" s="118"/>
      <c r="G22" s="119"/>
      <c r="H22" s="119"/>
      <c r="I22" s="118"/>
      <c r="J22" s="118"/>
      <c r="K22" s="119"/>
      <c r="L22" s="118"/>
      <c r="M22" s="118"/>
      <c r="N22" s="119"/>
      <c r="O22" s="119"/>
      <c r="P22" s="120"/>
    </row>
    <row r="23" spans="1:16" s="21" customFormat="1" ht="18" customHeight="1">
      <c r="A23" s="172" t="s">
        <v>344</v>
      </c>
      <c r="B23" s="117">
        <f>C23+O23+P23</f>
        <v>3750529</v>
      </c>
      <c r="C23" s="118">
        <f aca="true" t="shared" si="1" ref="C23:C34">SUM(D23:N23)</f>
        <v>3297981</v>
      </c>
      <c r="D23" s="118">
        <v>740203</v>
      </c>
      <c r="E23" s="360" t="s">
        <v>851</v>
      </c>
      <c r="F23" s="118">
        <v>26834</v>
      </c>
      <c r="G23" s="118">
        <v>99407</v>
      </c>
      <c r="H23" s="361" t="s">
        <v>674</v>
      </c>
      <c r="I23" s="118">
        <v>52815</v>
      </c>
      <c r="J23" s="360" t="s">
        <v>674</v>
      </c>
      <c r="K23" s="119">
        <v>325379</v>
      </c>
      <c r="L23" s="118">
        <v>15300</v>
      </c>
      <c r="M23" s="118">
        <v>2000000</v>
      </c>
      <c r="N23" s="119">
        <v>38043</v>
      </c>
      <c r="O23" s="119">
        <v>167626</v>
      </c>
      <c r="P23" s="121">
        <f>605586+1112-2400000+2078224</f>
        <v>284922</v>
      </c>
    </row>
    <row r="24" spans="1:16" s="21" customFormat="1" ht="18" customHeight="1">
      <c r="A24" s="172" t="s">
        <v>345</v>
      </c>
      <c r="B24" s="117">
        <v>4672874</v>
      </c>
      <c r="C24" s="118">
        <f t="shared" si="1"/>
        <v>3510851</v>
      </c>
      <c r="D24" s="118">
        <v>802819</v>
      </c>
      <c r="E24" s="360" t="s">
        <v>851</v>
      </c>
      <c r="F24" s="118">
        <v>34025</v>
      </c>
      <c r="G24" s="118">
        <v>68764</v>
      </c>
      <c r="H24" s="361" t="s">
        <v>674</v>
      </c>
      <c r="I24" s="118">
        <v>2980</v>
      </c>
      <c r="J24" s="118">
        <v>300000</v>
      </c>
      <c r="K24" s="119">
        <v>2266926</v>
      </c>
      <c r="L24" s="118">
        <v>11500</v>
      </c>
      <c r="M24" s="360" t="s">
        <v>674</v>
      </c>
      <c r="N24" s="119">
        <v>23837</v>
      </c>
      <c r="O24" s="119">
        <v>945138</v>
      </c>
      <c r="P24" s="121">
        <f>930266-713382</f>
        <v>216884</v>
      </c>
    </row>
    <row r="25" spans="1:16" s="21" customFormat="1" ht="18" customHeight="1">
      <c r="A25" s="172" t="s">
        <v>346</v>
      </c>
      <c r="B25" s="117">
        <f aca="true" t="shared" si="2" ref="B25:B33">C25+O25+P25</f>
        <v>2548647</v>
      </c>
      <c r="C25" s="118">
        <f t="shared" si="1"/>
        <v>3293839</v>
      </c>
      <c r="D25" s="118">
        <v>1136891</v>
      </c>
      <c r="E25" s="360" t="s">
        <v>851</v>
      </c>
      <c r="F25" s="118">
        <v>166547</v>
      </c>
      <c r="G25" s="118">
        <v>89563</v>
      </c>
      <c r="H25" s="361" t="s">
        <v>674</v>
      </c>
      <c r="I25" s="118">
        <v>2069</v>
      </c>
      <c r="J25" s="118">
        <v>455000</v>
      </c>
      <c r="K25" s="119">
        <v>464032</v>
      </c>
      <c r="L25" s="360" t="s">
        <v>674</v>
      </c>
      <c r="M25" s="118">
        <v>950000</v>
      </c>
      <c r="N25" s="119">
        <v>29737</v>
      </c>
      <c r="O25" s="119">
        <v>333061</v>
      </c>
      <c r="P25" s="121">
        <f>8163+59-1086475</f>
        <v>-1078253</v>
      </c>
    </row>
    <row r="26" spans="1:16" s="21" customFormat="1" ht="18" customHeight="1">
      <c r="A26" s="172" t="s">
        <v>347</v>
      </c>
      <c r="B26" s="117">
        <v>7835108</v>
      </c>
      <c r="C26" s="118">
        <v>3519627</v>
      </c>
      <c r="D26" s="118">
        <v>2671802</v>
      </c>
      <c r="E26" s="360" t="s">
        <v>851</v>
      </c>
      <c r="F26" s="118">
        <v>142637</v>
      </c>
      <c r="G26" s="118">
        <v>105520</v>
      </c>
      <c r="H26" s="361" t="s">
        <v>674</v>
      </c>
      <c r="I26" s="118">
        <v>1566</v>
      </c>
      <c r="J26" s="360" t="s">
        <v>674</v>
      </c>
      <c r="K26" s="119">
        <v>564168</v>
      </c>
      <c r="L26" s="360" t="s">
        <v>674</v>
      </c>
      <c r="M26" s="360" t="s">
        <v>674</v>
      </c>
      <c r="N26" s="119">
        <v>33933</v>
      </c>
      <c r="O26" s="119">
        <v>136786</v>
      </c>
      <c r="P26" s="121">
        <f>-1588698-6+500000+5267398</f>
        <v>4178694</v>
      </c>
    </row>
    <row r="27" spans="1:16" s="21" customFormat="1" ht="18" customHeight="1">
      <c r="A27" s="172" t="s">
        <v>348</v>
      </c>
      <c r="B27" s="117">
        <f t="shared" si="2"/>
        <v>5181788</v>
      </c>
      <c r="C27" s="118">
        <f t="shared" si="1"/>
        <v>7130456</v>
      </c>
      <c r="D27" s="118">
        <v>4587614</v>
      </c>
      <c r="E27" s="360" t="s">
        <v>851</v>
      </c>
      <c r="F27" s="118">
        <v>127837</v>
      </c>
      <c r="G27" s="118">
        <v>90523</v>
      </c>
      <c r="H27" s="361" t="s">
        <v>674</v>
      </c>
      <c r="I27" s="118">
        <v>1565</v>
      </c>
      <c r="J27" s="118">
        <v>245000</v>
      </c>
      <c r="K27" s="119">
        <v>502060</v>
      </c>
      <c r="L27" s="118">
        <v>28124</v>
      </c>
      <c r="M27" s="118">
        <v>1500000</v>
      </c>
      <c r="N27" s="119">
        <v>47733</v>
      </c>
      <c r="O27" s="119">
        <v>90474</v>
      </c>
      <c r="P27" s="120">
        <f>-1993727+1088+3000000-3046503</f>
        <v>-2039142</v>
      </c>
    </row>
    <row r="28" spans="1:16" s="21" customFormat="1" ht="18" customHeight="1">
      <c r="A28" s="172" t="s">
        <v>349</v>
      </c>
      <c r="B28" s="117">
        <f t="shared" si="2"/>
        <v>2766981</v>
      </c>
      <c r="C28" s="118">
        <f t="shared" si="1"/>
        <v>3133877</v>
      </c>
      <c r="D28" s="118">
        <v>2395329</v>
      </c>
      <c r="E28" s="360" t="s">
        <v>851</v>
      </c>
      <c r="F28" s="118">
        <v>129810</v>
      </c>
      <c r="G28" s="118">
        <v>91673</v>
      </c>
      <c r="H28" s="361" t="s">
        <v>674</v>
      </c>
      <c r="I28" s="118">
        <v>7980</v>
      </c>
      <c r="J28" s="360" t="s">
        <v>674</v>
      </c>
      <c r="K28" s="119">
        <v>509036</v>
      </c>
      <c r="L28" s="118">
        <v>10</v>
      </c>
      <c r="M28" s="360" t="s">
        <v>674</v>
      </c>
      <c r="N28" s="119">
        <v>39</v>
      </c>
      <c r="O28" s="119">
        <v>135496</v>
      </c>
      <c r="P28" s="120">
        <f>188000+53848-744281+41</f>
        <v>-502392</v>
      </c>
    </row>
    <row r="29" spans="1:16" s="21" customFormat="1" ht="18" customHeight="1">
      <c r="A29" s="172" t="s">
        <v>350</v>
      </c>
      <c r="B29" s="117">
        <v>4890029</v>
      </c>
      <c r="C29" s="118">
        <f t="shared" si="1"/>
        <v>2507222</v>
      </c>
      <c r="D29" s="118">
        <v>1007340</v>
      </c>
      <c r="E29" s="360" t="s">
        <v>851</v>
      </c>
      <c r="F29" s="118">
        <v>102413</v>
      </c>
      <c r="G29" s="118">
        <v>114171</v>
      </c>
      <c r="H29" s="361" t="s">
        <v>674</v>
      </c>
      <c r="I29" s="118">
        <v>6133</v>
      </c>
      <c r="J29" s="360" t="s">
        <v>674</v>
      </c>
      <c r="K29" s="119">
        <v>766769</v>
      </c>
      <c r="L29" s="360" t="s">
        <v>674</v>
      </c>
      <c r="M29" s="118">
        <v>500000</v>
      </c>
      <c r="N29" s="119">
        <v>10396</v>
      </c>
      <c r="O29" s="119">
        <v>138771</v>
      </c>
      <c r="P29" s="120">
        <f>1842606+52+401377</f>
        <v>2244035</v>
      </c>
    </row>
    <row r="30" spans="1:16" s="21" customFormat="1" ht="18" customHeight="1">
      <c r="A30" s="172" t="s">
        <v>351</v>
      </c>
      <c r="B30" s="117">
        <v>2960032</v>
      </c>
      <c r="C30" s="118">
        <v>1935941</v>
      </c>
      <c r="D30" s="118">
        <v>1129723</v>
      </c>
      <c r="E30" s="360" t="s">
        <v>851</v>
      </c>
      <c r="F30" s="118">
        <v>117485</v>
      </c>
      <c r="G30" s="118">
        <v>107153</v>
      </c>
      <c r="H30" s="361" t="s">
        <v>674</v>
      </c>
      <c r="I30" s="118">
        <v>4012</v>
      </c>
      <c r="J30" s="360" t="s">
        <v>674</v>
      </c>
      <c r="K30" s="119">
        <v>569372</v>
      </c>
      <c r="L30" s="360" t="s">
        <v>674</v>
      </c>
      <c r="M30" s="360" t="s">
        <v>674</v>
      </c>
      <c r="N30" s="119">
        <v>8197</v>
      </c>
      <c r="O30" s="119">
        <v>223443</v>
      </c>
      <c r="P30" s="120">
        <f>547086-26+253587</f>
        <v>800647</v>
      </c>
    </row>
    <row r="31" spans="1:16" s="21" customFormat="1" ht="18" customHeight="1">
      <c r="A31" s="172" t="s">
        <v>352</v>
      </c>
      <c r="B31" s="117">
        <f t="shared" si="2"/>
        <v>6027868</v>
      </c>
      <c r="C31" s="118">
        <f t="shared" si="1"/>
        <v>4199346</v>
      </c>
      <c r="D31" s="118">
        <v>986493</v>
      </c>
      <c r="E31" s="360" t="s">
        <v>851</v>
      </c>
      <c r="F31" s="118">
        <v>112268</v>
      </c>
      <c r="G31" s="118">
        <v>83921</v>
      </c>
      <c r="H31" s="361" t="s">
        <v>674</v>
      </c>
      <c r="I31" s="118">
        <v>1212</v>
      </c>
      <c r="J31" s="360" t="s">
        <v>674</v>
      </c>
      <c r="K31" s="119">
        <v>484895</v>
      </c>
      <c r="L31" s="360" t="s">
        <v>674</v>
      </c>
      <c r="M31" s="118">
        <v>2525000</v>
      </c>
      <c r="N31" s="119">
        <v>5557</v>
      </c>
      <c r="O31" s="119">
        <v>14932</v>
      </c>
      <c r="P31" s="120">
        <f>1617744+1+181945+13900</f>
        <v>1813590</v>
      </c>
    </row>
    <row r="32" spans="1:16" s="21" customFormat="1" ht="18" customHeight="1">
      <c r="A32" s="172" t="s">
        <v>353</v>
      </c>
      <c r="B32" s="160">
        <f t="shared" si="2"/>
        <v>3824407</v>
      </c>
      <c r="C32" s="118">
        <v>1824105</v>
      </c>
      <c r="D32" s="118">
        <v>859076</v>
      </c>
      <c r="E32" s="360" t="s">
        <v>851</v>
      </c>
      <c r="F32" s="118">
        <v>111058</v>
      </c>
      <c r="G32" s="118">
        <v>102365</v>
      </c>
      <c r="H32" s="361" t="s">
        <v>674</v>
      </c>
      <c r="I32" s="118">
        <v>12806</v>
      </c>
      <c r="J32" s="360" t="s">
        <v>674</v>
      </c>
      <c r="K32" s="119">
        <v>713987</v>
      </c>
      <c r="L32" s="360" t="s">
        <v>674</v>
      </c>
      <c r="M32" s="360" t="s">
        <v>674</v>
      </c>
      <c r="N32" s="119">
        <v>24814</v>
      </c>
      <c r="O32" s="119">
        <v>56698</v>
      </c>
      <c r="P32" s="120">
        <f>1406806+166+526507+10125</f>
        <v>1943604</v>
      </c>
    </row>
    <row r="33" spans="1:16" s="21" customFormat="1" ht="18" customHeight="1">
      <c r="A33" s="172" t="s">
        <v>354</v>
      </c>
      <c r="B33" s="160">
        <f t="shared" si="2"/>
        <v>3070393</v>
      </c>
      <c r="C33" s="118">
        <f t="shared" si="1"/>
        <v>2376365</v>
      </c>
      <c r="D33" s="118">
        <v>1637650</v>
      </c>
      <c r="E33" s="360" t="s">
        <v>851</v>
      </c>
      <c r="F33" s="118">
        <v>113154</v>
      </c>
      <c r="G33" s="118">
        <v>90010</v>
      </c>
      <c r="H33" s="361" t="s">
        <v>674</v>
      </c>
      <c r="I33" s="118">
        <v>9489</v>
      </c>
      <c r="J33" s="360" t="s">
        <v>674</v>
      </c>
      <c r="K33" s="119">
        <v>483343</v>
      </c>
      <c r="L33" s="360" t="s">
        <v>674</v>
      </c>
      <c r="M33" s="360" t="s">
        <v>674</v>
      </c>
      <c r="N33" s="119">
        <v>42719</v>
      </c>
      <c r="O33" s="119">
        <v>23665</v>
      </c>
      <c r="P33" s="120">
        <f>783647+5852+2000000-2105070-14066</f>
        <v>670363</v>
      </c>
    </row>
    <row r="34" spans="1:16" s="21" customFormat="1" ht="18" customHeight="1" thickBot="1">
      <c r="A34" s="173" t="s">
        <v>355</v>
      </c>
      <c r="B34" s="159">
        <v>6499324</v>
      </c>
      <c r="C34" s="125">
        <f t="shared" si="1"/>
        <v>5881234</v>
      </c>
      <c r="D34" s="125">
        <v>3146291</v>
      </c>
      <c r="E34" s="363" t="s">
        <v>674</v>
      </c>
      <c r="F34" s="126">
        <v>310659</v>
      </c>
      <c r="G34" s="125">
        <v>282020</v>
      </c>
      <c r="H34" s="364" t="s">
        <v>674</v>
      </c>
      <c r="I34" s="125">
        <v>46068</v>
      </c>
      <c r="J34" s="363" t="s">
        <v>674</v>
      </c>
      <c r="K34" s="126">
        <v>2027731</v>
      </c>
      <c r="L34" s="125">
        <v>500</v>
      </c>
      <c r="M34" s="364" t="s">
        <v>674</v>
      </c>
      <c r="N34" s="126">
        <v>67965</v>
      </c>
      <c r="O34" s="126">
        <v>-73393</v>
      </c>
      <c r="P34" s="127">
        <f>1633235+14707-956458</f>
        <v>691484</v>
      </c>
    </row>
    <row r="35" spans="1:9" s="35" customFormat="1" ht="13.5" customHeight="1">
      <c r="A35" s="365" t="s">
        <v>358</v>
      </c>
      <c r="B35" s="128"/>
      <c r="C35" s="128"/>
      <c r="D35" s="128"/>
      <c r="E35" s="128"/>
      <c r="F35" s="128"/>
      <c r="G35" s="128"/>
      <c r="H35" s="128"/>
      <c r="I35" s="35" t="s">
        <v>359</v>
      </c>
    </row>
    <row r="36" spans="1:9" s="21" customFormat="1" ht="13.5" customHeight="1">
      <c r="A36" s="258" t="s">
        <v>855</v>
      </c>
      <c r="I36" s="35" t="s">
        <v>856</v>
      </c>
    </row>
  </sheetData>
  <mergeCells count="10">
    <mergeCell ref="O6:O7"/>
    <mergeCell ref="P6:P7"/>
    <mergeCell ref="B6:B7"/>
    <mergeCell ref="I2:P2"/>
    <mergeCell ref="A3:H3"/>
    <mergeCell ref="I3:P3"/>
    <mergeCell ref="A2:H2"/>
    <mergeCell ref="A7:A8"/>
    <mergeCell ref="A5:A6"/>
    <mergeCell ref="C6:H6"/>
  </mergeCells>
  <printOptions/>
  <pageMargins left="1.1811023622047245" right="1.1811023622047245" top="1.5748031496062993" bottom="1.5748031496062993" header="0.5118110236220472" footer="0.9055118110236221"/>
  <pageSetup firstPageNumber="280" useFirstPageNumber="1" horizontalDpi="600" verticalDpi="600" orientation="portrait" paperSize="9" r:id="rId1"/>
  <headerFooter alignWithMargins="0">
    <oddFooter>&amp;C&amp;"華康中黑體,標準"&amp;11‧&amp;"Times New Roman,標準"&amp;P&amp;"華康中黑體,標準"‧</oddFooter>
  </headerFooter>
</worksheet>
</file>

<file path=xl/worksheets/sheet13.xml><?xml version="1.0" encoding="utf-8"?>
<worksheet xmlns="http://schemas.openxmlformats.org/spreadsheetml/2006/main" xmlns:r="http://schemas.openxmlformats.org/officeDocument/2006/relationships">
  <sheetPr>
    <tabColor indexed="17"/>
  </sheetPr>
  <dimension ref="A1:R34"/>
  <sheetViews>
    <sheetView showGridLines="0" zoomScale="120" zoomScaleNormal="120" workbookViewId="0" topLeftCell="A1">
      <selection activeCell="A1" sqref="A1"/>
    </sheetView>
  </sheetViews>
  <sheetFormatPr defaultColWidth="9.00390625" defaultRowHeight="16.5"/>
  <cols>
    <col min="1" max="1" width="11.125" style="13" customWidth="1"/>
    <col min="2" max="2" width="8.125" style="13" customWidth="1"/>
    <col min="3" max="3" width="7.625" style="13" customWidth="1"/>
    <col min="4" max="7" width="8.625" style="13" customWidth="1"/>
    <col min="8" max="8" width="13.625" style="13" customWidth="1"/>
    <col min="9" max="9" width="8.125" style="13" customWidth="1"/>
    <col min="10" max="10" width="7.625" style="13" customWidth="1"/>
    <col min="11" max="11" width="7.25390625" style="13" customWidth="1"/>
    <col min="12" max="13" width="7.125" style="13" customWidth="1"/>
    <col min="14" max="14" width="9.625" style="13" customWidth="1"/>
    <col min="15" max="15" width="5.125" style="13" customWidth="1"/>
    <col min="16" max="18" width="7.625" style="13" customWidth="1"/>
    <col min="19" max="16384" width="9.00390625" style="13" customWidth="1"/>
  </cols>
  <sheetData>
    <row r="1" spans="1:18" s="14" customFormat="1" ht="18" customHeight="1">
      <c r="A1" s="177" t="s">
        <v>823</v>
      </c>
      <c r="B1" s="26"/>
      <c r="C1" s="26"/>
      <c r="D1" s="26"/>
      <c r="E1" s="26"/>
      <c r="R1" s="49" t="s">
        <v>833</v>
      </c>
    </row>
    <row r="2" spans="1:18" s="16" customFormat="1" ht="24.75" customHeight="1">
      <c r="A2" s="434" t="s">
        <v>412</v>
      </c>
      <c r="B2" s="433"/>
      <c r="C2" s="433"/>
      <c r="D2" s="433"/>
      <c r="E2" s="433"/>
      <c r="F2" s="433"/>
      <c r="G2" s="433"/>
      <c r="H2" s="433"/>
      <c r="I2" s="433" t="s">
        <v>413</v>
      </c>
      <c r="J2" s="433"/>
      <c r="K2" s="433"/>
      <c r="L2" s="433"/>
      <c r="M2" s="433"/>
      <c r="N2" s="433"/>
      <c r="O2" s="433"/>
      <c r="P2" s="433"/>
      <c r="Q2" s="433"/>
      <c r="R2" s="433"/>
    </row>
    <row r="3" spans="1:18" s="367" customFormat="1" ht="18.75" customHeight="1">
      <c r="A3" s="439" t="s">
        <v>416</v>
      </c>
      <c r="B3" s="439"/>
      <c r="C3" s="439"/>
      <c r="D3" s="439"/>
      <c r="E3" s="439"/>
      <c r="F3" s="439"/>
      <c r="G3" s="439"/>
      <c r="H3" s="439"/>
      <c r="I3" s="439" t="s">
        <v>417</v>
      </c>
      <c r="J3" s="439"/>
      <c r="K3" s="439"/>
      <c r="L3" s="439"/>
      <c r="M3" s="439"/>
      <c r="N3" s="439"/>
      <c r="O3" s="439"/>
      <c r="P3" s="439"/>
      <c r="Q3" s="439"/>
      <c r="R3" s="439"/>
    </row>
    <row r="4" spans="1:18" s="21" customFormat="1" ht="15" customHeight="1" thickBot="1">
      <c r="A4" s="112"/>
      <c r="B4" s="30"/>
      <c r="C4" s="30"/>
      <c r="D4" s="30"/>
      <c r="E4" s="30"/>
      <c r="F4" s="30"/>
      <c r="G4" s="30"/>
      <c r="H4" s="259" t="s">
        <v>414</v>
      </c>
      <c r="I4" s="34"/>
      <c r="J4" s="34"/>
      <c r="K4" s="34"/>
      <c r="L4" s="34"/>
      <c r="M4" s="34"/>
      <c r="N4" s="34"/>
      <c r="O4" s="34"/>
      <c r="P4" s="34"/>
      <c r="R4" s="41" t="s">
        <v>415</v>
      </c>
    </row>
    <row r="5" spans="1:18" s="21" customFormat="1" ht="19.5" customHeight="1">
      <c r="A5" s="129"/>
      <c r="B5" s="113"/>
      <c r="C5" s="114"/>
      <c r="D5" s="352" t="s">
        <v>367</v>
      </c>
      <c r="E5" s="114"/>
      <c r="F5" s="352" t="s">
        <v>368</v>
      </c>
      <c r="G5" s="114"/>
      <c r="H5" s="114"/>
      <c r="I5" s="114"/>
      <c r="J5" s="114"/>
      <c r="K5" s="114"/>
      <c r="L5" s="114"/>
      <c r="M5" s="114" t="s">
        <v>792</v>
      </c>
      <c r="N5" s="114"/>
      <c r="O5" s="114"/>
      <c r="P5" s="114"/>
      <c r="Q5" s="130"/>
      <c r="R5" s="480" t="s">
        <v>369</v>
      </c>
    </row>
    <row r="6" spans="1:18" s="21" customFormat="1" ht="19.5" customHeight="1">
      <c r="A6" s="370" t="s">
        <v>370</v>
      </c>
      <c r="B6" s="471" t="s">
        <v>371</v>
      </c>
      <c r="C6" s="477" t="s">
        <v>372</v>
      </c>
      <c r="D6" s="478"/>
      <c r="E6" s="478"/>
      <c r="F6" s="478"/>
      <c r="G6" s="478"/>
      <c r="H6" s="478"/>
      <c r="I6" s="131"/>
      <c r="J6" s="115"/>
      <c r="K6" s="131" t="s">
        <v>817</v>
      </c>
      <c r="L6" s="131"/>
      <c r="M6" s="115"/>
      <c r="N6" s="115"/>
      <c r="O6" s="116"/>
      <c r="P6" s="467" t="s">
        <v>373</v>
      </c>
      <c r="Q6" s="467" t="s">
        <v>386</v>
      </c>
      <c r="R6" s="481"/>
    </row>
    <row r="7" spans="1:18" s="21" customFormat="1" ht="27.75" customHeight="1">
      <c r="A7" s="473" t="s">
        <v>374</v>
      </c>
      <c r="B7" s="472"/>
      <c r="C7" s="354" t="s">
        <v>387</v>
      </c>
      <c r="D7" s="355" t="s">
        <v>375</v>
      </c>
      <c r="E7" s="355" t="s">
        <v>376</v>
      </c>
      <c r="F7" s="355" t="s">
        <v>377</v>
      </c>
      <c r="G7" s="357" t="s">
        <v>378</v>
      </c>
      <c r="H7" s="357" t="s">
        <v>388</v>
      </c>
      <c r="I7" s="355" t="s">
        <v>379</v>
      </c>
      <c r="J7" s="354" t="s">
        <v>380</v>
      </c>
      <c r="K7" s="357" t="s">
        <v>381</v>
      </c>
      <c r="L7" s="356" t="s">
        <v>382</v>
      </c>
      <c r="M7" s="357" t="s">
        <v>389</v>
      </c>
      <c r="N7" s="357" t="s">
        <v>383</v>
      </c>
      <c r="O7" s="357" t="s">
        <v>384</v>
      </c>
      <c r="P7" s="479"/>
      <c r="Q7" s="479"/>
      <c r="R7" s="481"/>
    </row>
    <row r="8" spans="1:18" s="45" customFormat="1" ht="39.75" customHeight="1" thickBot="1">
      <c r="A8" s="474"/>
      <c r="B8" s="17" t="s">
        <v>685</v>
      </c>
      <c r="C8" s="19" t="s">
        <v>834</v>
      </c>
      <c r="D8" s="19" t="s">
        <v>754</v>
      </c>
      <c r="E8" s="19" t="s">
        <v>755</v>
      </c>
      <c r="F8" s="19" t="s">
        <v>756</v>
      </c>
      <c r="G8" s="19" t="s">
        <v>757</v>
      </c>
      <c r="H8" s="18" t="s">
        <v>758</v>
      </c>
      <c r="I8" s="19" t="s">
        <v>759</v>
      </c>
      <c r="J8" s="19" t="s">
        <v>722</v>
      </c>
      <c r="K8" s="18" t="s">
        <v>760</v>
      </c>
      <c r="L8" s="18" t="s">
        <v>761</v>
      </c>
      <c r="M8" s="18" t="s">
        <v>762</v>
      </c>
      <c r="N8" s="18" t="s">
        <v>763</v>
      </c>
      <c r="O8" s="18" t="s">
        <v>751</v>
      </c>
      <c r="P8" s="18" t="s">
        <v>390</v>
      </c>
      <c r="Q8" s="18" t="s">
        <v>391</v>
      </c>
      <c r="R8" s="20" t="s">
        <v>764</v>
      </c>
    </row>
    <row r="9" spans="1:18" s="21" customFormat="1" ht="18.75" customHeight="1">
      <c r="A9" s="359" t="s">
        <v>334</v>
      </c>
      <c r="B9" s="117">
        <f>C9+P9+Q9</f>
        <v>30805343</v>
      </c>
      <c r="C9" s="118">
        <f>SUM(D9:O9)</f>
        <v>29333442</v>
      </c>
      <c r="D9" s="118">
        <v>2739993</v>
      </c>
      <c r="E9" s="118">
        <v>13614009</v>
      </c>
      <c r="F9" s="118">
        <v>1989415</v>
      </c>
      <c r="G9" s="119">
        <v>5687291</v>
      </c>
      <c r="H9" s="118">
        <v>497532</v>
      </c>
      <c r="I9" s="360" t="s">
        <v>835</v>
      </c>
      <c r="J9" s="118">
        <v>3365935</v>
      </c>
      <c r="K9" s="360" t="s">
        <v>835</v>
      </c>
      <c r="L9" s="119">
        <v>371517</v>
      </c>
      <c r="M9" s="118">
        <v>1067750</v>
      </c>
      <c r="N9" s="360" t="s">
        <v>835</v>
      </c>
      <c r="O9" s="360" t="s">
        <v>835</v>
      </c>
      <c r="P9" s="119">
        <v>2277091</v>
      </c>
      <c r="Q9" s="119">
        <v>-805190</v>
      </c>
      <c r="R9" s="120">
        <v>8618859</v>
      </c>
    </row>
    <row r="10" spans="1:18" s="21" customFormat="1" ht="18.75" customHeight="1">
      <c r="A10" s="168" t="s">
        <v>392</v>
      </c>
      <c r="B10" s="117">
        <f>C10+P10+Q10</f>
        <v>31857471</v>
      </c>
      <c r="C10" s="118">
        <f>SUM(D10:O10)</f>
        <v>29809545</v>
      </c>
      <c r="D10" s="118">
        <v>2918730</v>
      </c>
      <c r="E10" s="118">
        <v>14214574</v>
      </c>
      <c r="F10" s="118">
        <v>2551954</v>
      </c>
      <c r="G10" s="119">
        <v>4894387</v>
      </c>
      <c r="H10" s="118">
        <v>641594</v>
      </c>
      <c r="I10" s="360" t="s">
        <v>835</v>
      </c>
      <c r="J10" s="118">
        <v>3058560</v>
      </c>
      <c r="K10" s="360" t="s">
        <v>835</v>
      </c>
      <c r="L10" s="119">
        <v>391228</v>
      </c>
      <c r="M10" s="118">
        <v>1138117</v>
      </c>
      <c r="N10" s="360" t="s">
        <v>835</v>
      </c>
      <c r="O10" s="118">
        <v>401</v>
      </c>
      <c r="P10" s="119">
        <v>2285722</v>
      </c>
      <c r="Q10" s="119">
        <v>-237796</v>
      </c>
      <c r="R10" s="120">
        <v>8140532</v>
      </c>
    </row>
    <row r="11" spans="1:18" s="21" customFormat="1" ht="18.75" customHeight="1">
      <c r="A11" s="168" t="s">
        <v>393</v>
      </c>
      <c r="B11" s="117">
        <f>C11+P11+Q11</f>
        <v>46257162</v>
      </c>
      <c r="C11" s="118">
        <f>SUM(D11:O11)</f>
        <v>42667829</v>
      </c>
      <c r="D11" s="118">
        <f>4563540+548514</f>
        <v>5112054</v>
      </c>
      <c r="E11" s="118">
        <f>19794283+1508465</f>
        <v>21302748</v>
      </c>
      <c r="F11" s="118">
        <f>684966+1868377</f>
        <v>2553343</v>
      </c>
      <c r="G11" s="119">
        <f>4000982+279523</f>
        <v>4280505</v>
      </c>
      <c r="H11" s="118">
        <f>313513+659111</f>
        <v>972624</v>
      </c>
      <c r="I11" s="118">
        <v>3577178</v>
      </c>
      <c r="J11" s="118">
        <f>4544407+285565</f>
        <v>4829972</v>
      </c>
      <c r="K11" s="360" t="s">
        <v>674</v>
      </c>
      <c r="L11" s="119">
        <v>39405</v>
      </c>
      <c r="M11" s="360" t="s">
        <v>674</v>
      </c>
      <c r="N11" s="360" t="s">
        <v>385</v>
      </c>
      <c r="O11" s="360" t="s">
        <v>385</v>
      </c>
      <c r="P11" s="119">
        <f>191152+2513230</f>
        <v>2704382</v>
      </c>
      <c r="Q11" s="119">
        <f>389951+495000</f>
        <v>884951</v>
      </c>
      <c r="R11" s="120">
        <v>-600504</v>
      </c>
    </row>
    <row r="12" spans="1:18" s="21" customFormat="1" ht="10.5" customHeight="1">
      <c r="A12" s="168"/>
      <c r="B12" s="117"/>
      <c r="C12" s="118"/>
      <c r="D12" s="118"/>
      <c r="E12" s="118"/>
      <c r="F12" s="118"/>
      <c r="G12" s="119"/>
      <c r="H12" s="118"/>
      <c r="I12" s="118"/>
      <c r="J12" s="118"/>
      <c r="K12" s="118"/>
      <c r="L12" s="119"/>
      <c r="M12" s="118"/>
      <c r="N12" s="118"/>
      <c r="O12" s="118"/>
      <c r="P12" s="119"/>
      <c r="Q12" s="119"/>
      <c r="R12" s="120"/>
    </row>
    <row r="13" spans="1:18" s="21" customFormat="1" ht="18.75" customHeight="1">
      <c r="A13" s="168" t="s">
        <v>394</v>
      </c>
      <c r="B13" s="117">
        <f>C13+P13+Q13</f>
        <v>33165750</v>
      </c>
      <c r="C13" s="118">
        <f>SUM(D13:O13)</f>
        <v>29863104</v>
      </c>
      <c r="D13" s="118">
        <f>3291264+261965</f>
        <v>3553229</v>
      </c>
      <c r="E13" s="118">
        <f>13518218+615463</f>
        <v>14133681</v>
      </c>
      <c r="F13" s="118">
        <f>352638+1203901</f>
        <v>1556539</v>
      </c>
      <c r="G13" s="119">
        <f>3410716+267016</f>
        <v>3677732</v>
      </c>
      <c r="H13" s="118">
        <f>176369+125564</f>
        <v>301933</v>
      </c>
      <c r="I13" s="118">
        <f>2570199</f>
        <v>2570199</v>
      </c>
      <c r="J13" s="118">
        <f>3717320+111410</f>
        <v>3828730</v>
      </c>
      <c r="K13" s="360" t="s">
        <v>674</v>
      </c>
      <c r="L13" s="119">
        <f>238415</f>
        <v>238415</v>
      </c>
      <c r="M13" s="360" t="s">
        <v>674</v>
      </c>
      <c r="N13" s="360" t="s">
        <v>674</v>
      </c>
      <c r="O13" s="118">
        <f>2646</f>
        <v>2646</v>
      </c>
      <c r="P13" s="119">
        <f>101274+1760301</f>
        <v>1861575</v>
      </c>
      <c r="Q13" s="119">
        <f>966071+475000</f>
        <v>1441071</v>
      </c>
      <c r="R13" s="362" t="s">
        <v>674</v>
      </c>
    </row>
    <row r="14" spans="1:18" s="21" customFormat="1" ht="18.75" customHeight="1">
      <c r="A14" s="168" t="s">
        <v>395</v>
      </c>
      <c r="B14" s="117">
        <f>C14+P14+Q14</f>
        <v>37353195</v>
      </c>
      <c r="C14" s="118">
        <f>SUM(D14:O14)</f>
        <v>34574713</v>
      </c>
      <c r="D14" s="118">
        <v>3986765</v>
      </c>
      <c r="E14" s="118">
        <v>16978239</v>
      </c>
      <c r="F14" s="118">
        <v>3193172</v>
      </c>
      <c r="G14" s="119">
        <v>3032956</v>
      </c>
      <c r="H14" s="118">
        <v>841854</v>
      </c>
      <c r="I14" s="118">
        <v>2315740</v>
      </c>
      <c r="J14" s="118">
        <v>3837161</v>
      </c>
      <c r="K14" s="360" t="s">
        <v>674</v>
      </c>
      <c r="L14" s="119">
        <v>388345</v>
      </c>
      <c r="M14" s="360" t="s">
        <v>674</v>
      </c>
      <c r="N14" s="360" t="s">
        <v>674</v>
      </c>
      <c r="O14" s="118">
        <v>481</v>
      </c>
      <c r="P14" s="119">
        <v>2190378</v>
      </c>
      <c r="Q14" s="119">
        <v>588104</v>
      </c>
      <c r="R14" s="120">
        <v>1868748</v>
      </c>
    </row>
    <row r="15" spans="1:18" s="21" customFormat="1" ht="18.75" customHeight="1">
      <c r="A15" s="168" t="s">
        <v>396</v>
      </c>
      <c r="B15" s="117">
        <f>C15+P15+Q15</f>
        <v>41802827</v>
      </c>
      <c r="C15" s="118">
        <f>SUM(D15:O15)</f>
        <v>33771742</v>
      </c>
      <c r="D15" s="118">
        <v>3779615</v>
      </c>
      <c r="E15" s="118">
        <v>15986588</v>
      </c>
      <c r="F15" s="118">
        <v>3074486</v>
      </c>
      <c r="G15" s="119">
        <v>2633687</v>
      </c>
      <c r="H15" s="118">
        <v>780915</v>
      </c>
      <c r="I15" s="118">
        <v>2841831</v>
      </c>
      <c r="J15" s="118">
        <v>4020192</v>
      </c>
      <c r="K15" s="360" t="s">
        <v>674</v>
      </c>
      <c r="L15" s="119">
        <v>324236</v>
      </c>
      <c r="M15" s="360" t="s">
        <v>674</v>
      </c>
      <c r="N15" s="360" t="s">
        <v>674</v>
      </c>
      <c r="O15" s="118">
        <v>330192</v>
      </c>
      <c r="P15" s="119">
        <v>3474198</v>
      </c>
      <c r="Q15" s="119">
        <v>4556887</v>
      </c>
      <c r="R15" s="120">
        <v>308204</v>
      </c>
    </row>
    <row r="16" spans="1:18" s="21" customFormat="1" ht="10.5" customHeight="1">
      <c r="A16" s="168"/>
      <c r="B16" s="117"/>
      <c r="C16" s="118"/>
      <c r="D16" s="118"/>
      <c r="E16" s="118"/>
      <c r="F16" s="118"/>
      <c r="G16" s="119"/>
      <c r="H16" s="118"/>
      <c r="I16" s="118"/>
      <c r="J16" s="118"/>
      <c r="K16" s="118"/>
      <c r="L16" s="119"/>
      <c r="M16" s="118"/>
      <c r="N16" s="118"/>
      <c r="O16" s="118"/>
      <c r="P16" s="119"/>
      <c r="Q16" s="119"/>
      <c r="R16" s="120"/>
    </row>
    <row r="17" spans="1:18" s="21" customFormat="1" ht="18.75" customHeight="1">
      <c r="A17" s="168" t="s">
        <v>397</v>
      </c>
      <c r="B17" s="117">
        <f>C17+P17+Q17</f>
        <v>46834892</v>
      </c>
      <c r="C17" s="118">
        <f>SUM(D17:O17)</f>
        <v>37961199</v>
      </c>
      <c r="D17" s="118">
        <v>4082443</v>
      </c>
      <c r="E17" s="118">
        <v>17619646</v>
      </c>
      <c r="F17" s="118">
        <v>3967396</v>
      </c>
      <c r="G17" s="119">
        <v>3157634</v>
      </c>
      <c r="H17" s="118">
        <v>890684</v>
      </c>
      <c r="I17" s="118">
        <v>3459877</v>
      </c>
      <c r="J17" s="118">
        <v>4132357</v>
      </c>
      <c r="K17" s="360" t="s">
        <v>674</v>
      </c>
      <c r="L17" s="119">
        <v>290550</v>
      </c>
      <c r="M17" s="360" t="s">
        <v>674</v>
      </c>
      <c r="N17" s="360" t="s">
        <v>674</v>
      </c>
      <c r="O17" s="118">
        <v>360612</v>
      </c>
      <c r="P17" s="119">
        <v>3418423</v>
      </c>
      <c r="Q17" s="119">
        <v>5455270</v>
      </c>
      <c r="R17" s="120">
        <v>472179</v>
      </c>
    </row>
    <row r="18" spans="1:18" s="21" customFormat="1" ht="18.75" customHeight="1">
      <c r="A18" s="168" t="s">
        <v>398</v>
      </c>
      <c r="B18" s="117">
        <v>48905649</v>
      </c>
      <c r="C18" s="118">
        <v>38909764</v>
      </c>
      <c r="D18" s="118">
        <v>4096391</v>
      </c>
      <c r="E18" s="118">
        <v>17781322</v>
      </c>
      <c r="F18" s="118">
        <v>3444654</v>
      </c>
      <c r="G18" s="119">
        <v>3573878</v>
      </c>
      <c r="H18" s="118">
        <v>1168162</v>
      </c>
      <c r="I18" s="118">
        <v>3677227</v>
      </c>
      <c r="J18" s="118">
        <v>4440799</v>
      </c>
      <c r="K18" s="360" t="s">
        <v>674</v>
      </c>
      <c r="L18" s="119">
        <v>381812</v>
      </c>
      <c r="M18" s="360" t="s">
        <v>674</v>
      </c>
      <c r="N18" s="360" t="s">
        <v>674</v>
      </c>
      <c r="O18" s="118">
        <v>345518</v>
      </c>
      <c r="P18" s="119">
        <v>3953378</v>
      </c>
      <c r="Q18" s="119">
        <v>6042506</v>
      </c>
      <c r="R18" s="120">
        <v>33339</v>
      </c>
    </row>
    <row r="19" spans="1:18" s="21" customFormat="1" ht="18.75" customHeight="1">
      <c r="A19" s="168" t="s">
        <v>399</v>
      </c>
      <c r="B19" s="117">
        <v>51954023</v>
      </c>
      <c r="C19" s="118">
        <v>39287064</v>
      </c>
      <c r="D19" s="118">
        <v>4155347</v>
      </c>
      <c r="E19" s="118">
        <v>18628603</v>
      </c>
      <c r="F19" s="118">
        <v>3089519</v>
      </c>
      <c r="G19" s="119">
        <v>3225177</v>
      </c>
      <c r="H19" s="118">
        <v>1081819</v>
      </c>
      <c r="I19" s="118">
        <v>3839449</v>
      </c>
      <c r="J19" s="118">
        <v>4522443</v>
      </c>
      <c r="K19" s="360" t="s">
        <v>674</v>
      </c>
      <c r="L19" s="119">
        <v>400000</v>
      </c>
      <c r="M19" s="360" t="s">
        <v>674</v>
      </c>
      <c r="N19" s="360" t="s">
        <v>674</v>
      </c>
      <c r="O19" s="118">
        <v>344707</v>
      </c>
      <c r="P19" s="119">
        <v>4302181</v>
      </c>
      <c r="Q19" s="119">
        <f>770497+7425000+169281</f>
        <v>8364778</v>
      </c>
      <c r="R19" s="120">
        <v>435738</v>
      </c>
    </row>
    <row r="20" spans="1:18" s="21" customFormat="1" ht="10.5" customHeight="1">
      <c r="A20" s="169"/>
      <c r="B20" s="117"/>
      <c r="C20" s="118"/>
      <c r="D20" s="118"/>
      <c r="E20" s="118"/>
      <c r="F20" s="118"/>
      <c r="G20" s="119"/>
      <c r="H20" s="118"/>
      <c r="I20" s="118"/>
      <c r="J20" s="118"/>
      <c r="K20" s="118"/>
      <c r="L20" s="119"/>
      <c r="M20" s="118"/>
      <c r="N20" s="118"/>
      <c r="O20" s="118"/>
      <c r="P20" s="119"/>
      <c r="Q20" s="119"/>
      <c r="R20" s="120"/>
    </row>
    <row r="21" spans="1:18" s="21" customFormat="1" ht="18.75" customHeight="1">
      <c r="A21" s="168" t="s">
        <v>343</v>
      </c>
      <c r="B21" s="117">
        <v>47279673</v>
      </c>
      <c r="C21" s="118">
        <v>40439515</v>
      </c>
      <c r="D21" s="118">
        <f>SUM(D23:D34)</f>
        <v>4368542</v>
      </c>
      <c r="E21" s="118">
        <f aca="true" t="shared" si="0" ref="E21:Q21">SUM(E23:E34)</f>
        <v>19823726</v>
      </c>
      <c r="F21" s="118">
        <f t="shared" si="0"/>
        <v>2460917</v>
      </c>
      <c r="G21" s="119">
        <f t="shared" si="0"/>
        <v>3461763</v>
      </c>
      <c r="H21" s="118">
        <f t="shared" si="0"/>
        <v>920294</v>
      </c>
      <c r="I21" s="118">
        <f t="shared" si="0"/>
        <v>3833296</v>
      </c>
      <c r="J21" s="118">
        <f t="shared" si="0"/>
        <v>4682446</v>
      </c>
      <c r="K21" s="360" t="s">
        <v>674</v>
      </c>
      <c r="L21" s="119">
        <f t="shared" si="0"/>
        <v>499999</v>
      </c>
      <c r="M21" s="360" t="s">
        <v>674</v>
      </c>
      <c r="N21" s="360" t="s">
        <v>674</v>
      </c>
      <c r="O21" s="118">
        <f t="shared" si="0"/>
        <v>388534</v>
      </c>
      <c r="P21" s="118">
        <f t="shared" si="0"/>
        <v>1068116</v>
      </c>
      <c r="Q21" s="118">
        <f t="shared" si="0"/>
        <v>5772043</v>
      </c>
      <c r="R21" s="120">
        <v>7243196</v>
      </c>
    </row>
    <row r="22" spans="1:18" s="21" customFormat="1" ht="10.5" customHeight="1">
      <c r="A22" s="132"/>
      <c r="B22" s="117"/>
      <c r="C22" s="118"/>
      <c r="D22" s="118"/>
      <c r="E22" s="118"/>
      <c r="F22" s="118"/>
      <c r="G22" s="119"/>
      <c r="H22" s="118"/>
      <c r="I22" s="118"/>
      <c r="J22" s="118"/>
      <c r="K22" s="118"/>
      <c r="L22" s="119"/>
      <c r="M22" s="118"/>
      <c r="N22" s="118"/>
      <c r="O22" s="118"/>
      <c r="P22" s="119"/>
      <c r="Q22" s="119"/>
      <c r="R22" s="120"/>
    </row>
    <row r="23" spans="1:18" s="21" customFormat="1" ht="18.75" customHeight="1">
      <c r="A23" s="172" t="s">
        <v>400</v>
      </c>
      <c r="B23" s="117">
        <v>3421886</v>
      </c>
      <c r="C23" s="118">
        <v>2928809</v>
      </c>
      <c r="D23" s="118">
        <v>195935</v>
      </c>
      <c r="E23" s="118">
        <v>1195397</v>
      </c>
      <c r="F23" s="118">
        <v>129246</v>
      </c>
      <c r="G23" s="119">
        <v>102571</v>
      </c>
      <c r="H23" s="118">
        <v>7715</v>
      </c>
      <c r="I23" s="118">
        <v>973963</v>
      </c>
      <c r="J23" s="118">
        <v>252423</v>
      </c>
      <c r="K23" s="360" t="s">
        <v>674</v>
      </c>
      <c r="L23" s="119">
        <v>62766</v>
      </c>
      <c r="M23" s="360" t="s">
        <v>674</v>
      </c>
      <c r="N23" s="360" t="s">
        <v>674</v>
      </c>
      <c r="O23" s="118">
        <v>8791</v>
      </c>
      <c r="P23" s="361" t="s">
        <v>674</v>
      </c>
      <c r="Q23" s="119">
        <f>118078+375000</f>
        <v>493078</v>
      </c>
      <c r="R23" s="120">
        <v>9668078</v>
      </c>
    </row>
    <row r="24" spans="1:18" s="21" customFormat="1" ht="18.75" customHeight="1">
      <c r="A24" s="172" t="s">
        <v>401</v>
      </c>
      <c r="B24" s="117">
        <v>4532467</v>
      </c>
      <c r="C24" s="118">
        <v>4487086</v>
      </c>
      <c r="D24" s="118">
        <v>459238</v>
      </c>
      <c r="E24" s="118">
        <v>2500057</v>
      </c>
      <c r="F24" s="118">
        <v>203023</v>
      </c>
      <c r="G24" s="119">
        <v>409855</v>
      </c>
      <c r="H24" s="118">
        <v>18107</v>
      </c>
      <c r="I24" s="118">
        <v>252199</v>
      </c>
      <c r="J24" s="118">
        <v>577220</v>
      </c>
      <c r="K24" s="360" t="s">
        <v>674</v>
      </c>
      <c r="L24" s="119">
        <v>59020</v>
      </c>
      <c r="M24" s="360" t="s">
        <v>674</v>
      </c>
      <c r="N24" s="360" t="s">
        <v>674</v>
      </c>
      <c r="O24" s="118">
        <v>8368</v>
      </c>
      <c r="P24" s="119">
        <v>98125</v>
      </c>
      <c r="Q24" s="119">
        <v>-52745</v>
      </c>
      <c r="R24" s="120">
        <v>9808118</v>
      </c>
    </row>
    <row r="25" spans="1:18" s="21" customFormat="1" ht="18.75" customHeight="1">
      <c r="A25" s="172" t="s">
        <v>402</v>
      </c>
      <c r="B25" s="117">
        <f aca="true" t="shared" si="1" ref="B25:B31">C25+P25+Q25</f>
        <v>2337652</v>
      </c>
      <c r="C25" s="118">
        <v>5961627</v>
      </c>
      <c r="D25" s="118">
        <v>628344</v>
      </c>
      <c r="E25" s="118">
        <v>3755073</v>
      </c>
      <c r="F25" s="118">
        <v>536526</v>
      </c>
      <c r="G25" s="119">
        <v>324187</v>
      </c>
      <c r="H25" s="118">
        <v>94773</v>
      </c>
      <c r="I25" s="118">
        <v>147722</v>
      </c>
      <c r="J25" s="118">
        <v>375572</v>
      </c>
      <c r="K25" s="360" t="s">
        <v>674</v>
      </c>
      <c r="L25" s="119">
        <v>58152</v>
      </c>
      <c r="M25" s="360" t="s">
        <v>674</v>
      </c>
      <c r="N25" s="360" t="s">
        <v>674</v>
      </c>
      <c r="O25" s="118">
        <v>41276</v>
      </c>
      <c r="P25" s="119">
        <v>161399</v>
      </c>
      <c r="Q25" s="119">
        <v>-3785374</v>
      </c>
      <c r="R25" s="120">
        <v>10054785</v>
      </c>
    </row>
    <row r="26" spans="1:18" s="21" customFormat="1" ht="18.75" customHeight="1">
      <c r="A26" s="172" t="s">
        <v>403</v>
      </c>
      <c r="B26" s="117">
        <v>2912270</v>
      </c>
      <c r="C26" s="118">
        <v>2570944</v>
      </c>
      <c r="D26" s="118">
        <v>400790</v>
      </c>
      <c r="E26" s="118">
        <v>1335744</v>
      </c>
      <c r="F26" s="118">
        <v>49401</v>
      </c>
      <c r="G26" s="119">
        <v>207219</v>
      </c>
      <c r="H26" s="118">
        <v>80238</v>
      </c>
      <c r="I26" s="118">
        <v>7191</v>
      </c>
      <c r="J26" s="118">
        <v>326671</v>
      </c>
      <c r="K26" s="360" t="s">
        <v>674</v>
      </c>
      <c r="L26" s="119">
        <v>80024</v>
      </c>
      <c r="M26" s="360" t="s">
        <v>674</v>
      </c>
      <c r="N26" s="360" t="s">
        <v>674</v>
      </c>
      <c r="O26" s="118">
        <v>83667</v>
      </c>
      <c r="P26" s="119">
        <v>102329</v>
      </c>
      <c r="Q26" s="119">
        <v>238998</v>
      </c>
      <c r="R26" s="120">
        <v>14984638</v>
      </c>
    </row>
    <row r="27" spans="1:18" s="21" customFormat="1" ht="18.75" customHeight="1">
      <c r="A27" s="172" t="s">
        <v>404</v>
      </c>
      <c r="B27" s="117">
        <f t="shared" si="1"/>
        <v>4949860</v>
      </c>
      <c r="C27" s="118">
        <v>2768795</v>
      </c>
      <c r="D27" s="118">
        <v>312129</v>
      </c>
      <c r="E27" s="118">
        <v>1342077</v>
      </c>
      <c r="F27" s="118">
        <v>107921</v>
      </c>
      <c r="G27" s="119">
        <v>279432</v>
      </c>
      <c r="H27" s="118">
        <v>81803</v>
      </c>
      <c r="I27" s="118">
        <v>2362</v>
      </c>
      <c r="J27" s="118">
        <v>571885</v>
      </c>
      <c r="K27" s="360" t="s">
        <v>674</v>
      </c>
      <c r="L27" s="119">
        <v>35179</v>
      </c>
      <c r="M27" s="360" t="s">
        <v>674</v>
      </c>
      <c r="N27" s="360" t="s">
        <v>674</v>
      </c>
      <c r="O27" s="118">
        <v>36006</v>
      </c>
      <c r="P27" s="119">
        <v>141955</v>
      </c>
      <c r="Q27" s="119">
        <f>39110+2000000</f>
        <v>2039110</v>
      </c>
      <c r="R27" s="120">
        <v>15160777</v>
      </c>
    </row>
    <row r="28" spans="1:18" s="21" customFormat="1" ht="18.75" customHeight="1">
      <c r="A28" s="172" t="s">
        <v>405</v>
      </c>
      <c r="B28" s="117">
        <v>2576861</v>
      </c>
      <c r="C28" s="118">
        <v>2422880</v>
      </c>
      <c r="D28" s="118">
        <v>309092</v>
      </c>
      <c r="E28" s="118">
        <v>1325370</v>
      </c>
      <c r="F28" s="118">
        <v>64773</v>
      </c>
      <c r="G28" s="119">
        <v>270847</v>
      </c>
      <c r="H28" s="118">
        <v>64066</v>
      </c>
      <c r="I28" s="118">
        <v>5097</v>
      </c>
      <c r="J28" s="118">
        <v>347015</v>
      </c>
      <c r="K28" s="360" t="s">
        <v>674</v>
      </c>
      <c r="L28" s="119">
        <v>23166</v>
      </c>
      <c r="M28" s="360" t="s">
        <v>674</v>
      </c>
      <c r="N28" s="360" t="s">
        <v>674</v>
      </c>
      <c r="O28" s="118">
        <v>13455</v>
      </c>
      <c r="P28" s="119">
        <v>85930</v>
      </c>
      <c r="Q28" s="119">
        <f>68050</f>
        <v>68050</v>
      </c>
      <c r="R28" s="120">
        <v>14395615</v>
      </c>
    </row>
    <row r="29" spans="1:18" s="21" customFormat="1" ht="18.75" customHeight="1">
      <c r="A29" s="172" t="s">
        <v>406</v>
      </c>
      <c r="B29" s="117">
        <f t="shared" si="1"/>
        <v>4785141</v>
      </c>
      <c r="C29" s="118">
        <f>SUM(D29:O29)</f>
        <v>3608479</v>
      </c>
      <c r="D29" s="118">
        <v>266170</v>
      </c>
      <c r="E29" s="118">
        <v>1176539</v>
      </c>
      <c r="F29" s="118">
        <v>171389</v>
      </c>
      <c r="G29" s="119">
        <v>444236</v>
      </c>
      <c r="H29" s="118">
        <v>58869</v>
      </c>
      <c r="I29" s="118">
        <v>1030904</v>
      </c>
      <c r="J29" s="118">
        <v>332172</v>
      </c>
      <c r="K29" s="360" t="s">
        <v>674</v>
      </c>
      <c r="L29" s="119">
        <v>116007</v>
      </c>
      <c r="M29" s="360" t="s">
        <v>674</v>
      </c>
      <c r="N29" s="360" t="s">
        <v>674</v>
      </c>
      <c r="O29" s="118">
        <v>12193</v>
      </c>
      <c r="P29" s="119">
        <v>98132</v>
      </c>
      <c r="Q29" s="119">
        <f>78530+1000000</f>
        <v>1078530</v>
      </c>
      <c r="R29" s="120">
        <v>6339057</v>
      </c>
    </row>
    <row r="30" spans="1:18" s="21" customFormat="1" ht="18.75" customHeight="1">
      <c r="A30" s="172" t="s">
        <v>407</v>
      </c>
      <c r="B30" s="117">
        <f t="shared" si="1"/>
        <v>2681117</v>
      </c>
      <c r="C30" s="118">
        <f>SUM(D30:O30)</f>
        <v>2469507</v>
      </c>
      <c r="D30" s="118">
        <v>300784</v>
      </c>
      <c r="E30" s="118">
        <v>1209947</v>
      </c>
      <c r="F30" s="118">
        <v>129924</v>
      </c>
      <c r="G30" s="119">
        <v>224585</v>
      </c>
      <c r="H30" s="118">
        <v>81213</v>
      </c>
      <c r="I30" s="118">
        <v>105716</v>
      </c>
      <c r="J30" s="118">
        <v>337152</v>
      </c>
      <c r="K30" s="360" t="s">
        <v>674</v>
      </c>
      <c r="L30" s="119">
        <v>65685</v>
      </c>
      <c r="M30" s="360" t="s">
        <v>674</v>
      </c>
      <c r="N30" s="360" t="s">
        <v>674</v>
      </c>
      <c r="O30" s="118">
        <v>14501</v>
      </c>
      <c r="P30" s="119">
        <v>128726</v>
      </c>
      <c r="Q30" s="119">
        <f>82884</f>
        <v>82884</v>
      </c>
      <c r="R30" s="120">
        <v>6494069</v>
      </c>
    </row>
    <row r="31" spans="1:18" s="21" customFormat="1" ht="18.75" customHeight="1">
      <c r="A31" s="172" t="s">
        <v>408</v>
      </c>
      <c r="B31" s="117">
        <f t="shared" si="1"/>
        <v>5898430</v>
      </c>
      <c r="C31" s="118">
        <f>SUM(D31:O31)</f>
        <v>2509200</v>
      </c>
      <c r="D31" s="118">
        <v>263546</v>
      </c>
      <c r="E31" s="118">
        <v>1243199</v>
      </c>
      <c r="F31" s="118">
        <v>124605</v>
      </c>
      <c r="G31" s="119">
        <v>441257</v>
      </c>
      <c r="H31" s="118">
        <v>87858</v>
      </c>
      <c r="I31" s="118">
        <v>10391</v>
      </c>
      <c r="J31" s="118">
        <v>324548</v>
      </c>
      <c r="K31" s="360" t="s">
        <v>674</v>
      </c>
      <c r="L31" s="361" t="s">
        <v>674</v>
      </c>
      <c r="M31" s="360" t="s">
        <v>674</v>
      </c>
      <c r="N31" s="360" t="s">
        <v>674</v>
      </c>
      <c r="O31" s="118">
        <v>13796</v>
      </c>
      <c r="P31" s="119">
        <v>27085</v>
      </c>
      <c r="Q31" s="119">
        <f>162145+3200000</f>
        <v>3362145</v>
      </c>
      <c r="R31" s="120">
        <v>6606296</v>
      </c>
    </row>
    <row r="32" spans="1:18" s="21" customFormat="1" ht="18.75" customHeight="1">
      <c r="A32" s="172" t="s">
        <v>409</v>
      </c>
      <c r="B32" s="117">
        <v>3596353</v>
      </c>
      <c r="C32" s="118">
        <v>3426700</v>
      </c>
      <c r="D32" s="118">
        <v>332330</v>
      </c>
      <c r="E32" s="118">
        <v>2105568</v>
      </c>
      <c r="F32" s="118">
        <v>139191</v>
      </c>
      <c r="G32" s="119">
        <v>342636</v>
      </c>
      <c r="H32" s="118">
        <v>85233</v>
      </c>
      <c r="I32" s="118">
        <v>3276</v>
      </c>
      <c r="J32" s="118">
        <v>346803</v>
      </c>
      <c r="K32" s="360" t="s">
        <v>674</v>
      </c>
      <c r="L32" s="361" t="s">
        <v>674</v>
      </c>
      <c r="M32" s="360" t="s">
        <v>674</v>
      </c>
      <c r="N32" s="360" t="s">
        <v>674</v>
      </c>
      <c r="O32" s="118">
        <v>71666</v>
      </c>
      <c r="P32" s="119">
        <v>73228</v>
      </c>
      <c r="Q32" s="119">
        <f>96424</f>
        <v>96424</v>
      </c>
      <c r="R32" s="120">
        <v>6918794</v>
      </c>
    </row>
    <row r="33" spans="1:18" s="21" customFormat="1" ht="18.75" customHeight="1">
      <c r="A33" s="172" t="s">
        <v>410</v>
      </c>
      <c r="B33" s="117">
        <v>2952921</v>
      </c>
      <c r="C33" s="118">
        <v>2686023</v>
      </c>
      <c r="D33" s="118">
        <v>299375</v>
      </c>
      <c r="E33" s="118">
        <v>1411704</v>
      </c>
      <c r="F33" s="118">
        <v>255664</v>
      </c>
      <c r="G33" s="119">
        <v>181888</v>
      </c>
      <c r="H33" s="118">
        <v>114790</v>
      </c>
      <c r="I33" s="118">
        <v>4346</v>
      </c>
      <c r="J33" s="118">
        <v>352907</v>
      </c>
      <c r="K33" s="360" t="s">
        <v>674</v>
      </c>
      <c r="L33" s="361" t="s">
        <v>674</v>
      </c>
      <c r="M33" s="360" t="s">
        <v>674</v>
      </c>
      <c r="N33" s="360" t="s">
        <v>674</v>
      </c>
      <c r="O33" s="118">
        <v>65350</v>
      </c>
      <c r="P33" s="120">
        <v>46522</v>
      </c>
      <c r="Q33" s="119">
        <f>220377</f>
        <v>220377</v>
      </c>
      <c r="R33" s="133">
        <v>6999204</v>
      </c>
    </row>
    <row r="34" spans="1:18" s="21" customFormat="1" ht="18.75" customHeight="1" thickBot="1">
      <c r="A34" s="173" t="s">
        <v>411</v>
      </c>
      <c r="B34" s="124">
        <f>C34+P34+Q34</f>
        <v>6634715</v>
      </c>
      <c r="C34" s="125">
        <v>4599464</v>
      </c>
      <c r="D34" s="125">
        <v>600809</v>
      </c>
      <c r="E34" s="125">
        <v>1223051</v>
      </c>
      <c r="F34" s="125">
        <v>549254</v>
      </c>
      <c r="G34" s="126">
        <v>233050</v>
      </c>
      <c r="H34" s="125">
        <v>145629</v>
      </c>
      <c r="I34" s="125">
        <v>1290129</v>
      </c>
      <c r="J34" s="125">
        <v>538078</v>
      </c>
      <c r="K34" s="363" t="s">
        <v>674</v>
      </c>
      <c r="L34" s="364" t="s">
        <v>674</v>
      </c>
      <c r="M34" s="363" t="s">
        <v>674</v>
      </c>
      <c r="N34" s="363" t="s">
        <v>674</v>
      </c>
      <c r="O34" s="125">
        <v>19465</v>
      </c>
      <c r="P34" s="126">
        <v>104685</v>
      </c>
      <c r="Q34" s="126">
        <f>1030566+900000</f>
        <v>1930566</v>
      </c>
      <c r="R34" s="127">
        <v>7243196</v>
      </c>
    </row>
    <row r="35" s="21" customFormat="1" ht="12.75"/>
  </sheetData>
  <mergeCells count="10">
    <mergeCell ref="Q6:Q7"/>
    <mergeCell ref="I2:R2"/>
    <mergeCell ref="I3:R3"/>
    <mergeCell ref="B6:B7"/>
    <mergeCell ref="R5:R7"/>
    <mergeCell ref="C6:H6"/>
    <mergeCell ref="A7:A8"/>
    <mergeCell ref="A3:H3"/>
    <mergeCell ref="P6:P7"/>
    <mergeCell ref="A2:H2"/>
  </mergeCells>
  <printOptions/>
  <pageMargins left="1.1811023622047245" right="1.1811023622047245" top="1.5748031496062993" bottom="1.5748031496062993" header="0.5118110236220472" footer="0.9055118110236221"/>
  <pageSetup firstPageNumber="282"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14.xml><?xml version="1.0" encoding="utf-8"?>
<worksheet xmlns="http://schemas.openxmlformats.org/spreadsheetml/2006/main" xmlns:r="http://schemas.openxmlformats.org/officeDocument/2006/relationships">
  <sheetPr>
    <tabColor indexed="17"/>
  </sheetPr>
  <dimension ref="A1:R37"/>
  <sheetViews>
    <sheetView showGridLines="0" zoomScale="120" zoomScaleNormal="120" workbookViewId="0" topLeftCell="A1">
      <selection activeCell="A1" sqref="A1"/>
    </sheetView>
  </sheetViews>
  <sheetFormatPr defaultColWidth="9.00390625" defaultRowHeight="16.5"/>
  <cols>
    <col min="1" max="1" width="11.625" style="13" customWidth="1"/>
    <col min="2" max="4" width="8.625" style="13" customWidth="1"/>
    <col min="5" max="5" width="12.125" style="13" customWidth="1"/>
    <col min="6" max="6" width="8.625" style="13" customWidth="1"/>
    <col min="7" max="7" width="8.125" style="13" customWidth="1"/>
    <col min="8" max="8" width="8.625" style="13" customWidth="1"/>
    <col min="9" max="9" width="6.625" style="13" customWidth="1"/>
    <col min="10" max="10" width="7.125" style="13" customWidth="1"/>
    <col min="11" max="11" width="9.125" style="13" customWidth="1"/>
    <col min="12" max="12" width="7.625" style="13" customWidth="1"/>
    <col min="13" max="13" width="8.125" style="13" customWidth="1"/>
    <col min="14" max="14" width="7.625" style="13" customWidth="1"/>
    <col min="15" max="16" width="6.625" style="13" customWidth="1"/>
    <col min="17" max="18" width="7.625" style="13" customWidth="1"/>
    <col min="19" max="16384" width="9.00390625" style="13" customWidth="1"/>
  </cols>
  <sheetData>
    <row r="1" spans="1:18" s="14" customFormat="1" ht="18" customHeight="1">
      <c r="A1" s="177" t="s">
        <v>823</v>
      </c>
      <c r="B1" s="26"/>
      <c r="C1" s="26"/>
      <c r="D1" s="26"/>
      <c r="E1" s="26"/>
      <c r="P1" s="24"/>
      <c r="R1" s="49" t="s">
        <v>833</v>
      </c>
    </row>
    <row r="2" spans="1:18" s="16" customFormat="1" ht="24.75" customHeight="1">
      <c r="A2" s="434" t="s">
        <v>443</v>
      </c>
      <c r="B2" s="433"/>
      <c r="C2" s="433"/>
      <c r="D2" s="433"/>
      <c r="E2" s="433"/>
      <c r="F2" s="433"/>
      <c r="G2" s="433"/>
      <c r="H2" s="433"/>
      <c r="I2" s="433" t="s">
        <v>444</v>
      </c>
      <c r="J2" s="433"/>
      <c r="K2" s="433"/>
      <c r="L2" s="433"/>
      <c r="M2" s="433"/>
      <c r="N2" s="433"/>
      <c r="O2" s="433"/>
      <c r="P2" s="433"/>
      <c r="Q2" s="433"/>
      <c r="R2" s="433"/>
    </row>
    <row r="3" spans="1:18" s="16" customFormat="1" ht="18.75" customHeight="1">
      <c r="A3" s="433" t="s">
        <v>445</v>
      </c>
      <c r="B3" s="433"/>
      <c r="C3" s="433"/>
      <c r="D3" s="433"/>
      <c r="E3" s="433"/>
      <c r="F3" s="433"/>
      <c r="G3" s="433"/>
      <c r="H3" s="433"/>
      <c r="I3" s="433" t="s">
        <v>446</v>
      </c>
      <c r="J3" s="433"/>
      <c r="K3" s="433"/>
      <c r="L3" s="433"/>
      <c r="M3" s="433"/>
      <c r="N3" s="433"/>
      <c r="O3" s="433"/>
      <c r="P3" s="433"/>
      <c r="Q3" s="433"/>
      <c r="R3" s="433"/>
    </row>
    <row r="4" spans="1:18" s="21" customFormat="1" ht="15" customHeight="1" thickBot="1">
      <c r="A4" s="112"/>
      <c r="B4" s="30"/>
      <c r="C4" s="30"/>
      <c r="D4" s="30"/>
      <c r="E4" s="30"/>
      <c r="F4" s="30"/>
      <c r="G4" s="30"/>
      <c r="H4" s="259" t="s">
        <v>239</v>
      </c>
      <c r="I4" s="34"/>
      <c r="J4" s="34"/>
      <c r="K4" s="34"/>
      <c r="L4" s="34"/>
      <c r="M4" s="34"/>
      <c r="N4" s="34"/>
      <c r="O4" s="65"/>
      <c r="R4" s="41" t="s">
        <v>360</v>
      </c>
    </row>
    <row r="5" spans="1:18" s="21" customFormat="1" ht="18.75" customHeight="1">
      <c r="A5" s="475" t="s">
        <v>370</v>
      </c>
      <c r="B5" s="113"/>
      <c r="C5" s="114"/>
      <c r="D5" s="352" t="s">
        <v>418</v>
      </c>
      <c r="E5" s="114"/>
      <c r="F5" s="114"/>
      <c r="G5" s="352" t="s">
        <v>419</v>
      </c>
      <c r="H5" s="114"/>
      <c r="I5" s="114"/>
      <c r="J5" s="114"/>
      <c r="K5" s="114"/>
      <c r="L5" s="114" t="s">
        <v>420</v>
      </c>
      <c r="M5" s="114"/>
      <c r="N5" s="114"/>
      <c r="O5" s="114"/>
      <c r="P5" s="114"/>
      <c r="Q5" s="114"/>
      <c r="R5" s="114"/>
    </row>
    <row r="6" spans="1:18" s="21" customFormat="1" ht="18.75" customHeight="1">
      <c r="A6" s="476"/>
      <c r="B6" s="471" t="s">
        <v>675</v>
      </c>
      <c r="C6" s="477" t="s">
        <v>421</v>
      </c>
      <c r="D6" s="478"/>
      <c r="E6" s="478"/>
      <c r="F6" s="478"/>
      <c r="G6" s="478"/>
      <c r="H6" s="478"/>
      <c r="I6" s="115"/>
      <c r="J6" s="115"/>
      <c r="K6" s="115" t="s">
        <v>422</v>
      </c>
      <c r="L6" s="115"/>
      <c r="M6" s="115"/>
      <c r="N6" s="115"/>
      <c r="O6" s="131"/>
      <c r="P6" s="134"/>
      <c r="Q6" s="467" t="s">
        <v>423</v>
      </c>
      <c r="R6" s="469" t="s">
        <v>432</v>
      </c>
    </row>
    <row r="7" spans="1:18" s="21" customFormat="1" ht="25.5" customHeight="1">
      <c r="A7" s="473" t="s">
        <v>374</v>
      </c>
      <c r="B7" s="472"/>
      <c r="C7" s="354" t="s">
        <v>424</v>
      </c>
      <c r="D7" s="354" t="s">
        <v>425</v>
      </c>
      <c r="E7" s="355" t="s">
        <v>433</v>
      </c>
      <c r="F7" s="355" t="s">
        <v>434</v>
      </c>
      <c r="G7" s="356" t="s">
        <v>426</v>
      </c>
      <c r="H7" s="353" t="s">
        <v>427</v>
      </c>
      <c r="I7" s="482" t="s">
        <v>435</v>
      </c>
      <c r="J7" s="483"/>
      <c r="K7" s="357" t="s">
        <v>428</v>
      </c>
      <c r="L7" s="357" t="s">
        <v>436</v>
      </c>
      <c r="M7" s="357" t="s">
        <v>437</v>
      </c>
      <c r="N7" s="357" t="s">
        <v>429</v>
      </c>
      <c r="O7" s="356" t="s">
        <v>430</v>
      </c>
      <c r="P7" s="356" t="s">
        <v>431</v>
      </c>
      <c r="Q7" s="468"/>
      <c r="R7" s="470"/>
    </row>
    <row r="8" spans="1:18" s="45" customFormat="1" ht="51" customHeight="1" thickBot="1">
      <c r="A8" s="474"/>
      <c r="B8" s="17" t="s">
        <v>685</v>
      </c>
      <c r="C8" s="19" t="s">
        <v>834</v>
      </c>
      <c r="D8" s="19" t="s">
        <v>686</v>
      </c>
      <c r="E8" s="19" t="s">
        <v>687</v>
      </c>
      <c r="F8" s="19" t="s">
        <v>746</v>
      </c>
      <c r="G8" s="18" t="s">
        <v>688</v>
      </c>
      <c r="H8" s="18" t="s">
        <v>747</v>
      </c>
      <c r="I8" s="358" t="s">
        <v>766</v>
      </c>
      <c r="J8" s="371" t="s">
        <v>767</v>
      </c>
      <c r="K8" s="18" t="s">
        <v>689</v>
      </c>
      <c r="L8" s="18" t="s">
        <v>749</v>
      </c>
      <c r="M8" s="18" t="s">
        <v>690</v>
      </c>
      <c r="N8" s="18" t="s">
        <v>765</v>
      </c>
      <c r="O8" s="18" t="s">
        <v>750</v>
      </c>
      <c r="P8" s="18" t="s">
        <v>751</v>
      </c>
      <c r="Q8" s="18" t="s">
        <v>752</v>
      </c>
      <c r="R8" s="20" t="s">
        <v>753</v>
      </c>
    </row>
    <row r="9" spans="1:18" s="21" customFormat="1" ht="18" customHeight="1">
      <c r="A9" s="359" t="s">
        <v>334</v>
      </c>
      <c r="B9" s="117">
        <f>C9+Q9+R9</f>
        <v>18490495</v>
      </c>
      <c r="C9" s="118">
        <f>SUM(D9:P9)</f>
        <v>10726545</v>
      </c>
      <c r="D9" s="118">
        <v>5711565</v>
      </c>
      <c r="E9" s="118">
        <v>139</v>
      </c>
      <c r="F9" s="118">
        <v>28969</v>
      </c>
      <c r="G9" s="119">
        <v>741600</v>
      </c>
      <c r="H9" s="119">
        <v>20149</v>
      </c>
      <c r="I9" s="122">
        <v>244116</v>
      </c>
      <c r="J9" s="122">
        <v>1830</v>
      </c>
      <c r="K9" s="118">
        <v>10000</v>
      </c>
      <c r="L9" s="119">
        <v>3499015</v>
      </c>
      <c r="M9" s="118">
        <v>1323</v>
      </c>
      <c r="N9" s="360" t="s">
        <v>835</v>
      </c>
      <c r="O9" s="360" t="s">
        <v>835</v>
      </c>
      <c r="P9" s="119">
        <v>467839</v>
      </c>
      <c r="Q9" s="119">
        <v>1729988</v>
      </c>
      <c r="R9" s="120">
        <f>5946596-16775+32173+71968</f>
        <v>6033962</v>
      </c>
    </row>
    <row r="10" spans="1:18" s="21" customFormat="1" ht="18" customHeight="1">
      <c r="A10" s="168" t="s">
        <v>392</v>
      </c>
      <c r="B10" s="117">
        <f>C10+Q10+R10</f>
        <v>21326331</v>
      </c>
      <c r="C10" s="118">
        <f>SUM(D10:P10)</f>
        <v>12698658</v>
      </c>
      <c r="D10" s="118">
        <f>6107724</f>
        <v>6107724</v>
      </c>
      <c r="E10" s="118">
        <v>581</v>
      </c>
      <c r="F10" s="118">
        <v>25641</v>
      </c>
      <c r="G10" s="119">
        <v>776667</v>
      </c>
      <c r="H10" s="119">
        <v>6160</v>
      </c>
      <c r="I10" s="118">
        <v>287520</v>
      </c>
      <c r="J10" s="118">
        <v>2448</v>
      </c>
      <c r="K10" s="118">
        <v>8177</v>
      </c>
      <c r="L10" s="119">
        <v>4894402</v>
      </c>
      <c r="M10" s="118">
        <v>2722</v>
      </c>
      <c r="N10" s="360" t="s">
        <v>835</v>
      </c>
      <c r="O10" s="360" t="s">
        <v>835</v>
      </c>
      <c r="P10" s="119">
        <v>586616</v>
      </c>
      <c r="Q10" s="119">
        <v>1939188</v>
      </c>
      <c r="R10" s="120">
        <f>6606025+82460</f>
        <v>6688485</v>
      </c>
    </row>
    <row r="11" spans="1:18" s="21" customFormat="1" ht="18" customHeight="1">
      <c r="A11" s="168" t="s">
        <v>393</v>
      </c>
      <c r="B11" s="117">
        <f>C11+Q11+R11</f>
        <v>27998349</v>
      </c>
      <c r="C11" s="118">
        <f>SUM(D11:P11)</f>
        <v>17616093</v>
      </c>
      <c r="D11" s="118">
        <v>9910809</v>
      </c>
      <c r="E11" s="118">
        <v>6725</v>
      </c>
      <c r="F11" s="118">
        <v>43596</v>
      </c>
      <c r="G11" s="119">
        <v>1163677</v>
      </c>
      <c r="H11" s="119">
        <v>14727</v>
      </c>
      <c r="I11" s="118">
        <v>418469</v>
      </c>
      <c r="J11" s="118">
        <v>1379</v>
      </c>
      <c r="K11" s="118">
        <v>20725</v>
      </c>
      <c r="L11" s="119">
        <v>5289611</v>
      </c>
      <c r="M11" s="118">
        <v>44582</v>
      </c>
      <c r="N11" s="360" t="s">
        <v>385</v>
      </c>
      <c r="O11" s="360" t="s">
        <v>385</v>
      </c>
      <c r="P11" s="119">
        <v>701793</v>
      </c>
      <c r="Q11" s="119">
        <v>1439297</v>
      </c>
      <c r="R11" s="120">
        <f>8449437+802+188728+220203+83789</f>
        <v>8942959</v>
      </c>
    </row>
    <row r="12" spans="1:18" s="21" customFormat="1" ht="6" customHeight="1">
      <c r="A12" s="168"/>
      <c r="B12" s="117"/>
      <c r="C12" s="118"/>
      <c r="D12" s="118"/>
      <c r="E12" s="118"/>
      <c r="F12" s="118"/>
      <c r="G12" s="119"/>
      <c r="H12" s="119"/>
      <c r="I12" s="118"/>
      <c r="J12" s="118"/>
      <c r="K12" s="118"/>
      <c r="L12" s="119"/>
      <c r="M12" s="118"/>
      <c r="N12" s="118"/>
      <c r="O12" s="118"/>
      <c r="P12" s="119"/>
      <c r="Q12" s="119"/>
      <c r="R12" s="120"/>
    </row>
    <row r="13" spans="1:18" s="21" customFormat="1" ht="18" customHeight="1">
      <c r="A13" s="168" t="s">
        <v>394</v>
      </c>
      <c r="B13" s="117">
        <f>C13+Q13+R13</f>
        <v>23625954</v>
      </c>
      <c r="C13" s="118">
        <f>SUM(D13:P13)</f>
        <v>12061870</v>
      </c>
      <c r="D13" s="118">
        <v>7260244</v>
      </c>
      <c r="E13" s="118">
        <v>3628</v>
      </c>
      <c r="F13" s="118">
        <v>17999</v>
      </c>
      <c r="G13" s="119">
        <v>679690</v>
      </c>
      <c r="H13" s="119">
        <v>18662</v>
      </c>
      <c r="I13" s="118">
        <v>314385</v>
      </c>
      <c r="J13" s="118">
        <v>2255</v>
      </c>
      <c r="K13" s="118">
        <v>66445</v>
      </c>
      <c r="L13" s="119">
        <v>2842739</v>
      </c>
      <c r="M13" s="118">
        <v>80735</v>
      </c>
      <c r="N13" s="360" t="s">
        <v>674</v>
      </c>
      <c r="O13" s="360" t="s">
        <v>674</v>
      </c>
      <c r="P13" s="119">
        <v>775088</v>
      </c>
      <c r="Q13" s="119">
        <v>2041058</v>
      </c>
      <c r="R13" s="120">
        <f>9423461+14000+85565</f>
        <v>9523026</v>
      </c>
    </row>
    <row r="14" spans="1:18" s="21" customFormat="1" ht="18" customHeight="1">
      <c r="A14" s="168" t="s">
        <v>395</v>
      </c>
      <c r="B14" s="117">
        <f>C14+Q14+R14</f>
        <v>22447952</v>
      </c>
      <c r="C14" s="118">
        <f>SUM(D14:P14)</f>
        <v>12041163</v>
      </c>
      <c r="D14" s="118">
        <v>7219246</v>
      </c>
      <c r="E14" s="118">
        <v>3607</v>
      </c>
      <c r="F14" s="118">
        <v>21640</v>
      </c>
      <c r="G14" s="119">
        <v>543144</v>
      </c>
      <c r="H14" s="119">
        <v>22172</v>
      </c>
      <c r="I14" s="118">
        <v>194462</v>
      </c>
      <c r="J14" s="118">
        <v>42020</v>
      </c>
      <c r="K14" s="118">
        <v>15129</v>
      </c>
      <c r="L14" s="119">
        <v>3270616</v>
      </c>
      <c r="M14" s="118">
        <v>90934</v>
      </c>
      <c r="N14" s="360" t="s">
        <v>674</v>
      </c>
      <c r="O14" s="360" t="s">
        <v>674</v>
      </c>
      <c r="P14" s="119">
        <v>618193</v>
      </c>
      <c r="Q14" s="119">
        <v>1454910</v>
      </c>
      <c r="R14" s="120">
        <v>8951879</v>
      </c>
    </row>
    <row r="15" spans="1:18" s="21" customFormat="1" ht="18" customHeight="1">
      <c r="A15" s="168" t="s">
        <v>396</v>
      </c>
      <c r="B15" s="117">
        <f>C15+Q15+R15</f>
        <v>19426686</v>
      </c>
      <c r="C15" s="118">
        <f>SUM(D15:P15)</f>
        <v>11667216</v>
      </c>
      <c r="D15" s="118">
        <v>7370485</v>
      </c>
      <c r="E15" s="118">
        <v>6947</v>
      </c>
      <c r="F15" s="118">
        <v>19662</v>
      </c>
      <c r="G15" s="119">
        <v>531869</v>
      </c>
      <c r="H15" s="119">
        <v>14796</v>
      </c>
      <c r="I15" s="118">
        <v>127790</v>
      </c>
      <c r="J15" s="118">
        <v>14332</v>
      </c>
      <c r="K15" s="118">
        <v>6000</v>
      </c>
      <c r="L15" s="119">
        <v>2546250</v>
      </c>
      <c r="M15" s="118">
        <v>252216</v>
      </c>
      <c r="N15" s="360" t="s">
        <v>851</v>
      </c>
      <c r="O15" s="118">
        <v>191377</v>
      </c>
      <c r="P15" s="119">
        <v>585492</v>
      </c>
      <c r="Q15" s="119">
        <v>976971</v>
      </c>
      <c r="R15" s="120">
        <v>6782499</v>
      </c>
    </row>
    <row r="16" spans="1:18" s="21" customFormat="1" ht="6" customHeight="1">
      <c r="A16" s="168"/>
      <c r="B16" s="117"/>
      <c r="C16" s="118"/>
      <c r="D16" s="118"/>
      <c r="E16" s="118"/>
      <c r="F16" s="118"/>
      <c r="G16" s="119"/>
      <c r="H16" s="119"/>
      <c r="I16" s="118"/>
      <c r="J16" s="118"/>
      <c r="K16" s="118"/>
      <c r="L16" s="119"/>
      <c r="M16" s="118"/>
      <c r="N16" s="118"/>
      <c r="O16" s="118"/>
      <c r="P16" s="119"/>
      <c r="Q16" s="119"/>
      <c r="R16" s="120"/>
    </row>
    <row r="17" spans="1:18" s="21" customFormat="1" ht="18" customHeight="1">
      <c r="A17" s="168" t="s">
        <v>397</v>
      </c>
      <c r="B17" s="117">
        <f>C17+Q17+R17</f>
        <v>21455638</v>
      </c>
      <c r="C17" s="118">
        <f>SUM(D17:P17)</f>
        <v>12987057</v>
      </c>
      <c r="D17" s="118">
        <v>8207976</v>
      </c>
      <c r="E17" s="118">
        <v>5602</v>
      </c>
      <c r="F17" s="118">
        <v>24005</v>
      </c>
      <c r="G17" s="119">
        <v>547283</v>
      </c>
      <c r="H17" s="119">
        <v>5993</v>
      </c>
      <c r="I17" s="118">
        <v>127371</v>
      </c>
      <c r="J17" s="118">
        <v>62169</v>
      </c>
      <c r="K17" s="118">
        <v>43677</v>
      </c>
      <c r="L17" s="119">
        <v>3242799</v>
      </c>
      <c r="M17" s="118">
        <v>157583</v>
      </c>
      <c r="N17" s="360" t="s">
        <v>851</v>
      </c>
      <c r="O17" s="118">
        <v>90000</v>
      </c>
      <c r="P17" s="119">
        <v>472599</v>
      </c>
      <c r="Q17" s="119">
        <v>1411549</v>
      </c>
      <c r="R17" s="120">
        <v>7057032</v>
      </c>
    </row>
    <row r="18" spans="1:18" s="21" customFormat="1" ht="18" customHeight="1">
      <c r="A18" s="168" t="s">
        <v>398</v>
      </c>
      <c r="B18" s="117">
        <v>14166240</v>
      </c>
      <c r="C18" s="118">
        <v>13104416</v>
      </c>
      <c r="D18" s="118">
        <v>8453115</v>
      </c>
      <c r="E18" s="118">
        <v>17706</v>
      </c>
      <c r="F18" s="118">
        <v>26963</v>
      </c>
      <c r="G18" s="119">
        <v>529398</v>
      </c>
      <c r="H18" s="119">
        <v>6382</v>
      </c>
      <c r="I18" s="118">
        <v>291273</v>
      </c>
      <c r="J18" s="118">
        <v>24492</v>
      </c>
      <c r="K18" s="118">
        <v>9400</v>
      </c>
      <c r="L18" s="119">
        <v>2736165</v>
      </c>
      <c r="M18" s="118">
        <v>298475</v>
      </c>
      <c r="N18" s="360" t="s">
        <v>851</v>
      </c>
      <c r="O18" s="118">
        <v>125000</v>
      </c>
      <c r="P18" s="119">
        <v>586047</v>
      </c>
      <c r="Q18" s="119">
        <v>1031030</v>
      </c>
      <c r="R18" s="120">
        <v>30794</v>
      </c>
    </row>
    <row r="19" spans="1:18" s="21" customFormat="1" ht="18" customHeight="1">
      <c r="A19" s="168" t="s">
        <v>342</v>
      </c>
      <c r="B19" s="117">
        <v>14848296</v>
      </c>
      <c r="C19" s="118">
        <v>13540958</v>
      </c>
      <c r="D19" s="118">
        <v>8841813</v>
      </c>
      <c r="E19" s="118">
        <v>40820</v>
      </c>
      <c r="F19" s="118">
        <v>37327</v>
      </c>
      <c r="G19" s="119">
        <v>519656</v>
      </c>
      <c r="H19" s="119">
        <v>6560</v>
      </c>
      <c r="I19" s="118">
        <v>297819</v>
      </c>
      <c r="J19" s="118">
        <v>17013</v>
      </c>
      <c r="K19" s="118">
        <v>3000</v>
      </c>
      <c r="L19" s="119">
        <v>2620107</v>
      </c>
      <c r="M19" s="118">
        <v>256150</v>
      </c>
      <c r="N19" s="360" t="s">
        <v>851</v>
      </c>
      <c r="O19" s="118">
        <v>161000</v>
      </c>
      <c r="P19" s="119">
        <v>739694</v>
      </c>
      <c r="Q19" s="119">
        <v>1013565</v>
      </c>
      <c r="R19" s="120">
        <v>293773</v>
      </c>
    </row>
    <row r="20" spans="1:18" s="21" customFormat="1" ht="6" customHeight="1">
      <c r="A20" s="169"/>
      <c r="B20" s="117"/>
      <c r="C20" s="118"/>
      <c r="D20" s="118"/>
      <c r="E20" s="118"/>
      <c r="F20" s="118"/>
      <c r="G20" s="119"/>
      <c r="H20" s="119"/>
      <c r="I20" s="118"/>
      <c r="J20" s="118"/>
      <c r="K20" s="118"/>
      <c r="L20" s="119"/>
      <c r="M20" s="118"/>
      <c r="N20" s="118"/>
      <c r="O20" s="118"/>
      <c r="P20" s="119"/>
      <c r="Q20" s="119"/>
      <c r="R20" s="120"/>
    </row>
    <row r="21" spans="1:18" s="21" customFormat="1" ht="18" customHeight="1">
      <c r="A21" s="168" t="s">
        <v>343</v>
      </c>
      <c r="B21" s="117">
        <v>14076832</v>
      </c>
      <c r="C21" s="118">
        <f>SUM(D21:P21)</f>
        <v>13444743</v>
      </c>
      <c r="D21" s="118">
        <v>9088685</v>
      </c>
      <c r="E21" s="118">
        <v>11895</v>
      </c>
      <c r="F21" s="118">
        <f aca="true" t="shared" si="0" ref="F21:O21">SUM(F23:F34)</f>
        <v>39189</v>
      </c>
      <c r="G21" s="118">
        <v>611255</v>
      </c>
      <c r="H21" s="118">
        <v>7493</v>
      </c>
      <c r="I21" s="118">
        <f t="shared" si="0"/>
        <v>297691</v>
      </c>
      <c r="J21" s="118">
        <v>50688</v>
      </c>
      <c r="K21" s="118">
        <f t="shared" si="0"/>
        <v>3325</v>
      </c>
      <c r="L21" s="118">
        <f t="shared" si="0"/>
        <v>2550471</v>
      </c>
      <c r="M21" s="118">
        <v>297668</v>
      </c>
      <c r="N21" s="360" t="s">
        <v>674</v>
      </c>
      <c r="O21" s="118">
        <f t="shared" si="0"/>
        <v>65000</v>
      </c>
      <c r="P21" s="118">
        <v>421383</v>
      </c>
      <c r="Q21" s="118">
        <v>835399</v>
      </c>
      <c r="R21" s="120">
        <v>-203309</v>
      </c>
    </row>
    <row r="22" spans="1:18" s="21" customFormat="1" ht="6" customHeight="1">
      <c r="A22" s="132"/>
      <c r="B22" s="117"/>
      <c r="C22" s="118"/>
      <c r="D22" s="118"/>
      <c r="E22" s="118"/>
      <c r="F22" s="118"/>
      <c r="G22" s="119"/>
      <c r="H22" s="119"/>
      <c r="I22" s="118"/>
      <c r="J22" s="118"/>
      <c r="K22" s="118"/>
      <c r="L22" s="119"/>
      <c r="M22" s="118"/>
      <c r="N22" s="118"/>
      <c r="O22" s="118"/>
      <c r="P22" s="119"/>
      <c r="Q22" s="119"/>
      <c r="R22" s="120"/>
    </row>
    <row r="23" spans="1:18" s="21" customFormat="1" ht="18" customHeight="1">
      <c r="A23" s="172" t="s">
        <v>344</v>
      </c>
      <c r="B23" s="117">
        <f>C23+Q23+R23</f>
        <v>1696849</v>
      </c>
      <c r="C23" s="118">
        <f>SUM(D23:P23)</f>
        <v>1162797</v>
      </c>
      <c r="D23" s="118">
        <v>672658</v>
      </c>
      <c r="E23" s="119">
        <v>1162</v>
      </c>
      <c r="F23" s="119">
        <v>610</v>
      </c>
      <c r="G23" s="119">
        <v>65903</v>
      </c>
      <c r="H23" s="374" t="s">
        <v>674</v>
      </c>
      <c r="I23" s="118">
        <v>13002</v>
      </c>
      <c r="J23" s="118">
        <f>60+20490</f>
        <v>20550</v>
      </c>
      <c r="K23" s="374" t="s">
        <v>674</v>
      </c>
      <c r="L23" s="119">
        <v>281801</v>
      </c>
      <c r="M23" s="118">
        <v>11517</v>
      </c>
      <c r="N23" s="374" t="s">
        <v>674</v>
      </c>
      <c r="O23" s="119">
        <v>25000</v>
      </c>
      <c r="P23" s="119">
        <v>70594</v>
      </c>
      <c r="Q23" s="119">
        <v>107394</v>
      </c>
      <c r="R23" s="120">
        <f>-309265+9+735914</f>
        <v>426658</v>
      </c>
    </row>
    <row r="24" spans="1:18" s="21" customFormat="1" ht="18" customHeight="1">
      <c r="A24" s="172" t="s">
        <v>345</v>
      </c>
      <c r="B24" s="117">
        <v>1240198</v>
      </c>
      <c r="C24" s="118">
        <f>SUM(D24:P24)</f>
        <v>1086406</v>
      </c>
      <c r="D24" s="118">
        <v>366705</v>
      </c>
      <c r="E24" s="119">
        <v>510</v>
      </c>
      <c r="F24" s="119">
        <v>706</v>
      </c>
      <c r="G24" s="119">
        <v>37379</v>
      </c>
      <c r="H24" s="374" t="s">
        <v>674</v>
      </c>
      <c r="I24" s="118">
        <v>9294</v>
      </c>
      <c r="J24" s="118">
        <f>49+0</f>
        <v>49</v>
      </c>
      <c r="K24" s="374" t="s">
        <v>674</v>
      </c>
      <c r="L24" s="119">
        <v>656439</v>
      </c>
      <c r="M24" s="372">
        <v>-2250</v>
      </c>
      <c r="N24" s="374" t="s">
        <v>674</v>
      </c>
      <c r="O24" s="375" t="s">
        <v>674</v>
      </c>
      <c r="P24" s="119">
        <v>17574</v>
      </c>
      <c r="Q24" s="119">
        <v>164257</v>
      </c>
      <c r="R24" s="120">
        <f>-10517+51</f>
        <v>-10466</v>
      </c>
    </row>
    <row r="25" spans="1:18" s="21" customFormat="1" ht="18" customHeight="1">
      <c r="A25" s="172" t="s">
        <v>346</v>
      </c>
      <c r="B25" s="117">
        <f>C25+Q25+R25</f>
        <v>507818</v>
      </c>
      <c r="C25" s="118">
        <f aca="true" t="shared" si="1" ref="C25:C32">SUM(D25:P25)</f>
        <v>490541</v>
      </c>
      <c r="D25" s="118">
        <v>303002</v>
      </c>
      <c r="E25" s="119">
        <v>872</v>
      </c>
      <c r="F25" s="119">
        <v>1986</v>
      </c>
      <c r="G25" s="119">
        <v>46964</v>
      </c>
      <c r="H25" s="374" t="s">
        <v>674</v>
      </c>
      <c r="I25" s="118">
        <v>37949</v>
      </c>
      <c r="J25" s="118">
        <f>107+0</f>
        <v>107</v>
      </c>
      <c r="K25" s="374" t="s">
        <v>674</v>
      </c>
      <c r="L25" s="119">
        <v>82092</v>
      </c>
      <c r="M25" s="374" t="s">
        <v>674</v>
      </c>
      <c r="N25" s="374" t="s">
        <v>674</v>
      </c>
      <c r="O25" s="374" t="s">
        <v>674</v>
      </c>
      <c r="P25" s="119">
        <v>17569</v>
      </c>
      <c r="Q25" s="119">
        <v>11352</v>
      </c>
      <c r="R25" s="120">
        <f>5902+23</f>
        <v>5925</v>
      </c>
    </row>
    <row r="26" spans="1:18" s="21" customFormat="1" ht="18" customHeight="1">
      <c r="A26" s="172" t="s">
        <v>347</v>
      </c>
      <c r="B26" s="117">
        <v>926769</v>
      </c>
      <c r="C26" s="118">
        <v>843151</v>
      </c>
      <c r="D26" s="118">
        <v>658345</v>
      </c>
      <c r="E26" s="119">
        <v>1780</v>
      </c>
      <c r="F26" s="119">
        <v>1688</v>
      </c>
      <c r="G26" s="119">
        <v>54115</v>
      </c>
      <c r="H26" s="374" t="s">
        <v>674</v>
      </c>
      <c r="I26" s="118">
        <v>35368</v>
      </c>
      <c r="J26" s="118">
        <f>431+0</f>
        <v>431</v>
      </c>
      <c r="K26" s="374" t="s">
        <v>674</v>
      </c>
      <c r="L26" s="119">
        <v>20669</v>
      </c>
      <c r="M26" s="118">
        <v>4165</v>
      </c>
      <c r="N26" s="374" t="s">
        <v>674</v>
      </c>
      <c r="O26" s="119">
        <v>40000</v>
      </c>
      <c r="P26" s="119">
        <v>26589</v>
      </c>
      <c r="Q26" s="119">
        <v>83149</v>
      </c>
      <c r="R26" s="120">
        <f>464+6</f>
        <v>470</v>
      </c>
    </row>
    <row r="27" spans="1:18" s="21" customFormat="1" ht="18" customHeight="1">
      <c r="A27" s="172" t="s">
        <v>348</v>
      </c>
      <c r="B27" s="117">
        <f aca="true" t="shared" si="2" ref="B27:B33">C27+Q27+R27</f>
        <v>1446331</v>
      </c>
      <c r="C27" s="118">
        <f t="shared" si="1"/>
        <v>1371677</v>
      </c>
      <c r="D27" s="118">
        <v>957587</v>
      </c>
      <c r="E27" s="119">
        <v>491</v>
      </c>
      <c r="F27" s="119">
        <v>3061</v>
      </c>
      <c r="G27" s="119">
        <v>54832</v>
      </c>
      <c r="H27" s="119">
        <v>2051</v>
      </c>
      <c r="I27" s="118">
        <v>35588</v>
      </c>
      <c r="J27" s="373">
        <f>37+0</f>
        <v>37</v>
      </c>
      <c r="K27" s="374" t="s">
        <v>674</v>
      </c>
      <c r="L27" s="119">
        <v>252017</v>
      </c>
      <c r="M27" s="118">
        <v>31202</v>
      </c>
      <c r="N27" s="374" t="s">
        <v>674</v>
      </c>
      <c r="O27" s="374" t="s">
        <v>674</v>
      </c>
      <c r="P27" s="119">
        <v>34811</v>
      </c>
      <c r="Q27" s="119">
        <v>54484</v>
      </c>
      <c r="R27" s="120">
        <f>20066+104</f>
        <v>20170</v>
      </c>
    </row>
    <row r="28" spans="1:18" s="21" customFormat="1" ht="18" customHeight="1">
      <c r="A28" s="172" t="s">
        <v>349</v>
      </c>
      <c r="B28" s="117">
        <f t="shared" si="2"/>
        <v>2416868</v>
      </c>
      <c r="C28" s="118">
        <v>2319128</v>
      </c>
      <c r="D28" s="118">
        <v>1777586</v>
      </c>
      <c r="E28" s="119">
        <v>389</v>
      </c>
      <c r="F28" s="119">
        <v>4555</v>
      </c>
      <c r="G28" s="119">
        <v>58454</v>
      </c>
      <c r="H28" s="119">
        <v>1544</v>
      </c>
      <c r="I28" s="118">
        <v>33814</v>
      </c>
      <c r="J28" s="118">
        <f>1120+851</f>
        <v>1971</v>
      </c>
      <c r="K28" s="374" t="s">
        <v>674</v>
      </c>
      <c r="L28" s="119">
        <v>387227</v>
      </c>
      <c r="M28" s="119">
        <v>14718</v>
      </c>
      <c r="N28" s="374" t="s">
        <v>674</v>
      </c>
      <c r="O28" s="374" t="s">
        <v>674</v>
      </c>
      <c r="P28" s="119">
        <v>38871</v>
      </c>
      <c r="Q28" s="119">
        <v>106972</v>
      </c>
      <c r="R28" s="120">
        <f>-9253+10+11</f>
        <v>-9232</v>
      </c>
    </row>
    <row r="29" spans="1:18" s="21" customFormat="1" ht="18" customHeight="1">
      <c r="A29" s="172" t="s">
        <v>350</v>
      </c>
      <c r="B29" s="117">
        <f t="shared" si="2"/>
        <v>194573</v>
      </c>
      <c r="C29" s="118">
        <v>914835</v>
      </c>
      <c r="D29" s="118">
        <v>684190</v>
      </c>
      <c r="E29" s="119">
        <v>256</v>
      </c>
      <c r="F29" s="119">
        <v>8310</v>
      </c>
      <c r="G29" s="119">
        <v>78367</v>
      </c>
      <c r="H29" s="119">
        <v>12</v>
      </c>
      <c r="I29" s="118">
        <v>37064</v>
      </c>
      <c r="J29" s="118">
        <f>1257+1750</f>
        <v>3007</v>
      </c>
      <c r="K29" s="374" t="s">
        <v>674</v>
      </c>
      <c r="L29" s="119">
        <v>54232</v>
      </c>
      <c r="M29" s="118">
        <v>2850</v>
      </c>
      <c r="N29" s="374" t="s">
        <v>674</v>
      </c>
      <c r="O29" s="374" t="s">
        <v>674</v>
      </c>
      <c r="P29" s="372">
        <v>46549</v>
      </c>
      <c r="Q29" s="119">
        <v>16171</v>
      </c>
      <c r="R29" s="120">
        <f>-527+8-735914</f>
        <v>-736433</v>
      </c>
    </row>
    <row r="30" spans="1:18" s="21" customFormat="1" ht="18" customHeight="1">
      <c r="A30" s="172" t="s">
        <v>351</v>
      </c>
      <c r="B30" s="117">
        <f t="shared" si="2"/>
        <v>684186</v>
      </c>
      <c r="C30" s="118">
        <f t="shared" si="1"/>
        <v>684399</v>
      </c>
      <c r="D30" s="118">
        <v>352437</v>
      </c>
      <c r="E30" s="119">
        <v>1155</v>
      </c>
      <c r="F30" s="119">
        <v>2778</v>
      </c>
      <c r="G30" s="119">
        <v>39618</v>
      </c>
      <c r="H30" s="374" t="s">
        <v>674</v>
      </c>
      <c r="I30" s="118">
        <v>12402</v>
      </c>
      <c r="J30" s="118">
        <f>828+5100</f>
        <v>5928</v>
      </c>
      <c r="K30" s="374" t="s">
        <v>674</v>
      </c>
      <c r="L30" s="119">
        <v>206041</v>
      </c>
      <c r="M30" s="118">
        <v>33585</v>
      </c>
      <c r="N30" s="374" t="s">
        <v>674</v>
      </c>
      <c r="O30" s="374" t="s">
        <v>674</v>
      </c>
      <c r="P30" s="119">
        <v>30455</v>
      </c>
      <c r="Q30" s="119">
        <v>8167</v>
      </c>
      <c r="R30" s="120">
        <f>-8398+18</f>
        <v>-8380</v>
      </c>
    </row>
    <row r="31" spans="1:18" s="21" customFormat="1" ht="18" customHeight="1">
      <c r="A31" s="172" t="s">
        <v>352</v>
      </c>
      <c r="B31" s="117">
        <f t="shared" si="2"/>
        <v>791392</v>
      </c>
      <c r="C31" s="118">
        <f t="shared" si="1"/>
        <v>821913</v>
      </c>
      <c r="D31" s="118">
        <v>348653</v>
      </c>
      <c r="E31" s="119">
        <v>346</v>
      </c>
      <c r="F31" s="119">
        <v>3503</v>
      </c>
      <c r="G31" s="119">
        <v>39845</v>
      </c>
      <c r="H31" s="119">
        <v>96</v>
      </c>
      <c r="I31" s="118">
        <v>10484</v>
      </c>
      <c r="J31" s="118">
        <f>1672+1217</f>
        <v>2889</v>
      </c>
      <c r="K31" s="374" t="s">
        <v>674</v>
      </c>
      <c r="L31" s="119">
        <v>331328</v>
      </c>
      <c r="M31" s="118">
        <v>75129</v>
      </c>
      <c r="N31" s="374" t="s">
        <v>674</v>
      </c>
      <c r="O31" s="375" t="s">
        <v>674</v>
      </c>
      <c r="P31" s="119">
        <v>9640</v>
      </c>
      <c r="Q31" s="119">
        <v>11325</v>
      </c>
      <c r="R31" s="120">
        <f>-41851+5</f>
        <v>-41846</v>
      </c>
    </row>
    <row r="32" spans="1:18" s="21" customFormat="1" ht="18" customHeight="1">
      <c r="A32" s="172" t="s">
        <v>353</v>
      </c>
      <c r="B32" s="117">
        <f t="shared" si="2"/>
        <v>1023798</v>
      </c>
      <c r="C32" s="118">
        <f t="shared" si="1"/>
        <v>895142</v>
      </c>
      <c r="D32" s="118">
        <v>698802</v>
      </c>
      <c r="E32" s="119">
        <v>920</v>
      </c>
      <c r="F32" s="119">
        <v>5640</v>
      </c>
      <c r="G32" s="119">
        <v>45045</v>
      </c>
      <c r="H32" s="119">
        <v>340</v>
      </c>
      <c r="I32" s="118">
        <v>25861</v>
      </c>
      <c r="J32" s="373">
        <f>2048+7032</f>
        <v>9080</v>
      </c>
      <c r="K32" s="374" t="s">
        <v>674</v>
      </c>
      <c r="L32" s="119">
        <v>94071</v>
      </c>
      <c r="M32" s="118">
        <v>6118</v>
      </c>
      <c r="N32" s="374" t="s">
        <v>674</v>
      </c>
      <c r="O32" s="374" t="s">
        <v>674</v>
      </c>
      <c r="P32" s="119">
        <v>9265</v>
      </c>
      <c r="Q32" s="119">
        <v>102625</v>
      </c>
      <c r="R32" s="120">
        <f>25346+685</f>
        <v>26031</v>
      </c>
    </row>
    <row r="33" spans="1:18" s="21" customFormat="1" ht="18" customHeight="1">
      <c r="A33" s="172" t="s">
        <v>354</v>
      </c>
      <c r="B33" s="117">
        <f t="shared" si="2"/>
        <v>1339819</v>
      </c>
      <c r="C33" s="118">
        <v>1279845</v>
      </c>
      <c r="D33" s="118">
        <v>873246</v>
      </c>
      <c r="E33" s="119">
        <v>2856</v>
      </c>
      <c r="F33" s="119">
        <v>1806</v>
      </c>
      <c r="G33" s="119">
        <v>48935</v>
      </c>
      <c r="H33" s="119">
        <v>2299</v>
      </c>
      <c r="I33" s="118">
        <v>12023</v>
      </c>
      <c r="J33" s="118">
        <f>370+0</f>
        <v>370</v>
      </c>
      <c r="K33" s="374" t="s">
        <v>674</v>
      </c>
      <c r="L33" s="119">
        <v>159254</v>
      </c>
      <c r="M33" s="118">
        <v>90159</v>
      </c>
      <c r="N33" s="374" t="s">
        <v>674</v>
      </c>
      <c r="O33" s="374" t="s">
        <v>674</v>
      </c>
      <c r="P33" s="119">
        <v>88898</v>
      </c>
      <c r="Q33" s="119">
        <v>14174</v>
      </c>
      <c r="R33" s="120">
        <f>45903-103</f>
        <v>45800</v>
      </c>
    </row>
    <row r="34" spans="1:18" s="21" customFormat="1" ht="18" customHeight="1" thickBot="1">
      <c r="A34" s="173" t="s">
        <v>355</v>
      </c>
      <c r="B34" s="124">
        <v>1808232</v>
      </c>
      <c r="C34" s="125">
        <v>1574911</v>
      </c>
      <c r="D34" s="125">
        <v>1395473</v>
      </c>
      <c r="E34" s="126">
        <v>1160</v>
      </c>
      <c r="F34" s="126">
        <v>4546</v>
      </c>
      <c r="G34" s="126">
        <v>41799</v>
      </c>
      <c r="H34" s="126">
        <v>1152</v>
      </c>
      <c r="I34" s="125">
        <v>34842</v>
      </c>
      <c r="J34" s="125">
        <f>3615+2656</f>
        <v>6271</v>
      </c>
      <c r="K34" s="125">
        <v>3325</v>
      </c>
      <c r="L34" s="126">
        <v>25300</v>
      </c>
      <c r="M34" s="125">
        <v>30477</v>
      </c>
      <c r="N34" s="376" t="s">
        <v>674</v>
      </c>
      <c r="O34" s="377" t="s">
        <v>674</v>
      </c>
      <c r="P34" s="126">
        <v>30569</v>
      </c>
      <c r="Q34" s="126">
        <v>155328</v>
      </c>
      <c r="R34" s="127">
        <f>78025-49+16</f>
        <v>77992</v>
      </c>
    </row>
    <row r="35" spans="1:9" s="35" customFormat="1" ht="13.5" customHeight="1">
      <c r="A35" s="365" t="s">
        <v>438</v>
      </c>
      <c r="B35" s="128"/>
      <c r="C35" s="128"/>
      <c r="D35" s="128"/>
      <c r="E35" s="128"/>
      <c r="F35" s="128"/>
      <c r="G35" s="128"/>
      <c r="H35" s="128"/>
      <c r="I35" s="35" t="s">
        <v>359</v>
      </c>
    </row>
    <row r="36" spans="1:9" s="21" customFormat="1" ht="13.5" customHeight="1">
      <c r="A36" s="366" t="s">
        <v>439</v>
      </c>
      <c r="I36" s="35" t="s">
        <v>442</v>
      </c>
    </row>
    <row r="37" spans="1:9" s="140" customFormat="1" ht="13.5" customHeight="1">
      <c r="A37" s="258" t="s">
        <v>441</v>
      </c>
      <c r="I37" s="35" t="s">
        <v>440</v>
      </c>
    </row>
  </sheetData>
  <mergeCells count="11">
    <mergeCell ref="I7:J7"/>
    <mergeCell ref="Q6:Q7"/>
    <mergeCell ref="R6:R7"/>
    <mergeCell ref="I2:R2"/>
    <mergeCell ref="I3:R3"/>
    <mergeCell ref="A3:H3"/>
    <mergeCell ref="A2:H2"/>
    <mergeCell ref="B6:B7"/>
    <mergeCell ref="A7:A8"/>
    <mergeCell ref="A5:A6"/>
    <mergeCell ref="C6:H6"/>
  </mergeCells>
  <printOptions/>
  <pageMargins left="1.1811023622047245" right="1.1811023622047245" top="1.5748031496062993" bottom="1.5748031496062993" header="0.5118110236220472" footer="0.9055118110236221"/>
  <pageSetup firstPageNumber="284" useFirstPageNumber="1" horizontalDpi="600" verticalDpi="600" orientation="portrait" paperSize="9" r:id="rId3"/>
  <headerFooter alignWithMargins="0">
    <oddFooter>&amp;C&amp;"華康中黑體,標準"&amp;11‧&amp;"Times New Roman,標準"&amp;P&amp;"華康中黑體,標準"‧</oddFooter>
  </headerFooter>
  <legacyDrawing r:id="rId2"/>
</worksheet>
</file>

<file path=xl/worksheets/sheet15.xml><?xml version="1.0" encoding="utf-8"?>
<worksheet xmlns="http://schemas.openxmlformats.org/spreadsheetml/2006/main" xmlns:r="http://schemas.openxmlformats.org/officeDocument/2006/relationships">
  <sheetPr>
    <tabColor indexed="17"/>
  </sheetPr>
  <dimension ref="A1:P35"/>
  <sheetViews>
    <sheetView showGridLines="0" zoomScale="120" zoomScaleNormal="120" workbookViewId="0" topLeftCell="A1">
      <selection activeCell="A1" sqref="A1"/>
    </sheetView>
  </sheetViews>
  <sheetFormatPr defaultColWidth="9.00390625" defaultRowHeight="16.5"/>
  <cols>
    <col min="1" max="1" width="11.625" style="13" customWidth="1"/>
    <col min="2" max="3" width="7.625" style="13" customWidth="1"/>
    <col min="4" max="7" width="8.625" style="13" customWidth="1"/>
    <col min="8" max="8" width="13.625" style="13" customWidth="1"/>
    <col min="9" max="9" width="10.625" style="13" customWidth="1"/>
    <col min="10" max="11" width="8.125" style="13" customWidth="1"/>
    <col min="12" max="12" width="11.625" style="13" customWidth="1"/>
    <col min="13" max="13" width="7.625" style="13" customWidth="1"/>
    <col min="14" max="16" width="9.625" style="13" customWidth="1"/>
    <col min="17" max="16384" width="9.00390625" style="13" customWidth="1"/>
  </cols>
  <sheetData>
    <row r="1" spans="1:16" s="14" customFormat="1" ht="18" customHeight="1">
      <c r="A1" s="177" t="s">
        <v>823</v>
      </c>
      <c r="B1" s="26"/>
      <c r="C1" s="26"/>
      <c r="D1" s="26"/>
      <c r="E1" s="26"/>
      <c r="P1" s="49" t="s">
        <v>833</v>
      </c>
    </row>
    <row r="2" spans="1:16" s="16" customFormat="1" ht="24.75" customHeight="1">
      <c r="A2" s="434" t="s">
        <v>465</v>
      </c>
      <c r="B2" s="433"/>
      <c r="C2" s="433"/>
      <c r="D2" s="433"/>
      <c r="E2" s="433"/>
      <c r="F2" s="433"/>
      <c r="G2" s="433"/>
      <c r="H2" s="433"/>
      <c r="I2" s="433" t="s">
        <v>466</v>
      </c>
      <c r="J2" s="433"/>
      <c r="K2" s="433"/>
      <c r="L2" s="433"/>
      <c r="M2" s="433"/>
      <c r="N2" s="433"/>
      <c r="O2" s="433"/>
      <c r="P2" s="433"/>
    </row>
    <row r="3" spans="1:16" s="367" customFormat="1" ht="18.75" customHeight="1">
      <c r="A3" s="439" t="s">
        <v>467</v>
      </c>
      <c r="B3" s="439"/>
      <c r="C3" s="439"/>
      <c r="D3" s="439"/>
      <c r="E3" s="439"/>
      <c r="F3" s="439"/>
      <c r="G3" s="439"/>
      <c r="H3" s="439"/>
      <c r="I3" s="439" t="s">
        <v>468</v>
      </c>
      <c r="J3" s="439"/>
      <c r="K3" s="439"/>
      <c r="L3" s="439"/>
      <c r="M3" s="439"/>
      <c r="N3" s="439"/>
      <c r="O3" s="439"/>
      <c r="P3" s="439"/>
    </row>
    <row r="4" spans="1:16" s="21" customFormat="1" ht="15" customHeight="1" thickBot="1">
      <c r="A4" s="112"/>
      <c r="B4" s="30"/>
      <c r="C4" s="30"/>
      <c r="D4" s="30"/>
      <c r="E4" s="30"/>
      <c r="F4" s="30"/>
      <c r="G4" s="30"/>
      <c r="H4" s="259" t="s">
        <v>239</v>
      </c>
      <c r="I4" s="34"/>
      <c r="J4" s="34"/>
      <c r="K4" s="34"/>
      <c r="L4" s="34"/>
      <c r="M4" s="34"/>
      <c r="N4" s="34"/>
      <c r="P4" s="41" t="s">
        <v>360</v>
      </c>
    </row>
    <row r="5" spans="1:16" s="21" customFormat="1" ht="18.75" customHeight="1">
      <c r="A5" s="129"/>
      <c r="B5" s="113"/>
      <c r="C5" s="114"/>
      <c r="D5" s="352" t="s">
        <v>447</v>
      </c>
      <c r="E5" s="114"/>
      <c r="F5" s="352" t="s">
        <v>448</v>
      </c>
      <c r="G5" s="114"/>
      <c r="H5" s="114"/>
      <c r="I5" s="114"/>
      <c r="J5" s="114"/>
      <c r="K5" s="114" t="s">
        <v>792</v>
      </c>
      <c r="L5" s="114"/>
      <c r="M5" s="114"/>
      <c r="N5" s="114"/>
      <c r="O5" s="130"/>
      <c r="P5" s="480" t="s">
        <v>449</v>
      </c>
    </row>
    <row r="6" spans="1:16" s="21" customFormat="1" ht="18.75" customHeight="1">
      <c r="A6" s="370" t="s">
        <v>312</v>
      </c>
      <c r="B6" s="471" t="s">
        <v>450</v>
      </c>
      <c r="C6" s="477" t="s">
        <v>451</v>
      </c>
      <c r="D6" s="478"/>
      <c r="E6" s="478"/>
      <c r="F6" s="478"/>
      <c r="G6" s="478"/>
      <c r="H6" s="478"/>
      <c r="I6" s="131"/>
      <c r="J6" s="131"/>
      <c r="K6" s="131" t="s">
        <v>817</v>
      </c>
      <c r="L6" s="115"/>
      <c r="M6" s="116"/>
      <c r="N6" s="467" t="s">
        <v>452</v>
      </c>
      <c r="O6" s="467" t="s">
        <v>461</v>
      </c>
      <c r="P6" s="481"/>
    </row>
    <row r="7" spans="1:16" s="21" customFormat="1" ht="25.5" customHeight="1">
      <c r="A7" s="473" t="s">
        <v>320</v>
      </c>
      <c r="B7" s="472"/>
      <c r="C7" s="354" t="s">
        <v>462</v>
      </c>
      <c r="D7" s="355" t="s">
        <v>453</v>
      </c>
      <c r="E7" s="355" t="s">
        <v>454</v>
      </c>
      <c r="F7" s="355" t="s">
        <v>455</v>
      </c>
      <c r="G7" s="357" t="s">
        <v>456</v>
      </c>
      <c r="H7" s="353" t="s">
        <v>463</v>
      </c>
      <c r="I7" s="355" t="s">
        <v>457</v>
      </c>
      <c r="J7" s="356" t="s">
        <v>458</v>
      </c>
      <c r="K7" s="357" t="s">
        <v>464</v>
      </c>
      <c r="L7" s="357" t="s">
        <v>459</v>
      </c>
      <c r="M7" s="357" t="s">
        <v>460</v>
      </c>
      <c r="N7" s="479"/>
      <c r="O7" s="479"/>
      <c r="P7" s="481"/>
    </row>
    <row r="8" spans="1:16" s="45" customFormat="1" ht="39.75" customHeight="1" thickBot="1">
      <c r="A8" s="474"/>
      <c r="B8" s="17" t="s">
        <v>685</v>
      </c>
      <c r="C8" s="19" t="s">
        <v>834</v>
      </c>
      <c r="D8" s="19" t="s">
        <v>754</v>
      </c>
      <c r="E8" s="19" t="s">
        <v>755</v>
      </c>
      <c r="F8" s="19" t="s">
        <v>756</v>
      </c>
      <c r="G8" s="19" t="s">
        <v>757</v>
      </c>
      <c r="H8" s="18" t="s">
        <v>758</v>
      </c>
      <c r="I8" s="19" t="s">
        <v>759</v>
      </c>
      <c r="J8" s="18" t="s">
        <v>761</v>
      </c>
      <c r="K8" s="18" t="s">
        <v>762</v>
      </c>
      <c r="L8" s="18" t="s">
        <v>763</v>
      </c>
      <c r="M8" s="18" t="s">
        <v>751</v>
      </c>
      <c r="N8" s="18" t="s">
        <v>390</v>
      </c>
      <c r="O8" s="18" t="s">
        <v>391</v>
      </c>
      <c r="P8" s="20" t="s">
        <v>764</v>
      </c>
    </row>
    <row r="9" spans="1:16" s="21" customFormat="1" ht="18.75" customHeight="1">
      <c r="A9" s="359" t="s">
        <v>334</v>
      </c>
      <c r="B9" s="117">
        <f>C9+N9+O9</f>
        <v>11884470</v>
      </c>
      <c r="C9" s="118">
        <f>SUM(D9:M9)</f>
        <v>8738997</v>
      </c>
      <c r="D9" s="118">
        <v>1740819</v>
      </c>
      <c r="E9" s="118">
        <v>340540</v>
      </c>
      <c r="F9" s="118">
        <v>2916394</v>
      </c>
      <c r="G9" s="119">
        <v>1342042</v>
      </c>
      <c r="H9" s="119">
        <v>1925180</v>
      </c>
      <c r="I9" s="379" t="s">
        <v>835</v>
      </c>
      <c r="J9" s="119">
        <v>364800</v>
      </c>
      <c r="K9" s="374" t="s">
        <v>835</v>
      </c>
      <c r="L9" s="374" t="s">
        <v>835</v>
      </c>
      <c r="M9" s="118">
        <v>109222</v>
      </c>
      <c r="N9" s="119">
        <v>2405547</v>
      </c>
      <c r="O9" s="119">
        <v>739926</v>
      </c>
      <c r="P9" s="120">
        <v>6606025</v>
      </c>
    </row>
    <row r="10" spans="1:16" s="21" customFormat="1" ht="18.75" customHeight="1">
      <c r="A10" s="168" t="s">
        <v>392</v>
      </c>
      <c r="B10" s="117">
        <f>C10+N10+O10</f>
        <v>12876894</v>
      </c>
      <c r="C10" s="118">
        <f>SUM(D10:M10)</f>
        <v>10361466</v>
      </c>
      <c r="D10" s="118">
        <f>1857626+163773</f>
        <v>2021399</v>
      </c>
      <c r="E10" s="118">
        <f>243424+148821</f>
        <v>392245</v>
      </c>
      <c r="F10" s="118">
        <f>683570+2530487</f>
        <v>3214057</v>
      </c>
      <c r="G10" s="119">
        <f>2188382+86568</f>
        <v>2274950</v>
      </c>
      <c r="H10" s="119">
        <f>1657519+519431</f>
        <v>2176950</v>
      </c>
      <c r="I10" s="379" t="s">
        <v>835</v>
      </c>
      <c r="J10" s="119">
        <f>60333+109528</f>
        <v>169861</v>
      </c>
      <c r="K10" s="374" t="s">
        <v>835</v>
      </c>
      <c r="L10" s="374" t="s">
        <v>835</v>
      </c>
      <c r="M10" s="118">
        <v>112004</v>
      </c>
      <c r="N10" s="119">
        <f>108241+2009598</f>
        <v>2117839</v>
      </c>
      <c r="O10" s="119">
        <f>86020+259360+52209</f>
        <v>397589</v>
      </c>
      <c r="P10" s="120">
        <v>8449437</v>
      </c>
    </row>
    <row r="11" spans="1:16" s="21" customFormat="1" ht="18.75" customHeight="1">
      <c r="A11" s="168" t="s">
        <v>393</v>
      </c>
      <c r="B11" s="117">
        <f>C11+N11+O11</f>
        <v>18574888</v>
      </c>
      <c r="C11" s="118">
        <f>SUM(D11:M11)</f>
        <v>14634735</v>
      </c>
      <c r="D11" s="118">
        <f>2871970+212102</f>
        <v>3084072</v>
      </c>
      <c r="E11" s="118">
        <f>371876+296525</f>
        <v>668401</v>
      </c>
      <c r="F11" s="118">
        <f>903009+2651451</f>
        <v>3554460</v>
      </c>
      <c r="G11" s="119">
        <f>3643649+127199</f>
        <v>3770848</v>
      </c>
      <c r="H11" s="119">
        <f>2490097+724105</f>
        <v>3214202</v>
      </c>
      <c r="I11" s="118">
        <f>269938</f>
        <v>269938</v>
      </c>
      <c r="J11" s="119">
        <f>71980</f>
        <v>71980</v>
      </c>
      <c r="K11" s="374" t="s">
        <v>674</v>
      </c>
      <c r="L11" s="374" t="s">
        <v>674</v>
      </c>
      <c r="M11" s="118">
        <f>834</f>
        <v>834</v>
      </c>
      <c r="N11" s="119">
        <f>172463+2727436</f>
        <v>2899899</v>
      </c>
      <c r="O11" s="119">
        <f>630413+37399+179583+33620+159239</f>
        <v>1040254</v>
      </c>
      <c r="P11" s="120">
        <f>9423461</f>
        <v>9423461</v>
      </c>
    </row>
    <row r="12" spans="1:16" s="21" customFormat="1" ht="12.75" customHeight="1">
      <c r="A12" s="168"/>
      <c r="B12" s="117"/>
      <c r="C12" s="118"/>
      <c r="D12" s="118"/>
      <c r="E12" s="118"/>
      <c r="F12" s="118"/>
      <c r="G12" s="119"/>
      <c r="H12" s="119"/>
      <c r="I12" s="118"/>
      <c r="J12" s="119"/>
      <c r="K12" s="372"/>
      <c r="L12" s="372"/>
      <c r="M12" s="118"/>
      <c r="N12" s="119"/>
      <c r="O12" s="119"/>
      <c r="P12" s="120"/>
    </row>
    <row r="13" spans="1:16" s="21" customFormat="1" ht="18.75" customHeight="1">
      <c r="A13" s="168" t="s">
        <v>394</v>
      </c>
      <c r="B13" s="117">
        <f>C13+N13+O13</f>
        <v>15356756</v>
      </c>
      <c r="C13" s="118">
        <f>SUM(D13:M13)</f>
        <v>11025497</v>
      </c>
      <c r="D13" s="118">
        <f>2117449+118803</f>
        <v>2236252</v>
      </c>
      <c r="E13" s="118">
        <f>322270+143757</f>
        <v>466027</v>
      </c>
      <c r="F13" s="118">
        <f>1232537+1835805</f>
        <v>3068342</v>
      </c>
      <c r="G13" s="119">
        <f>2648092+96843</f>
        <v>2744935</v>
      </c>
      <c r="H13" s="119">
        <f>2011931+271137</f>
        <v>2283068</v>
      </c>
      <c r="I13" s="118">
        <f>188281</f>
        <v>188281</v>
      </c>
      <c r="J13" s="119">
        <f>38522</f>
        <v>38522</v>
      </c>
      <c r="K13" s="374" t="s">
        <v>674</v>
      </c>
      <c r="L13" s="374" t="s">
        <v>674</v>
      </c>
      <c r="M13" s="118">
        <f>70</f>
        <v>70</v>
      </c>
      <c r="N13" s="119">
        <f>852339+3236320</f>
        <v>4088659</v>
      </c>
      <c r="O13" s="119">
        <f>27601+90246+26195+98558</f>
        <v>242600</v>
      </c>
      <c r="P13" s="120">
        <v>8269198</v>
      </c>
    </row>
    <row r="14" spans="1:16" s="21" customFormat="1" ht="18.75" customHeight="1">
      <c r="A14" s="168" t="s">
        <v>395</v>
      </c>
      <c r="B14" s="117">
        <f>C14+N14+O14</f>
        <v>16396085</v>
      </c>
      <c r="C14" s="118">
        <f>SUM(D14:M14)</f>
        <v>10879764</v>
      </c>
      <c r="D14" s="118">
        <v>2352690</v>
      </c>
      <c r="E14" s="118">
        <v>506523</v>
      </c>
      <c r="F14" s="118">
        <v>3898716</v>
      </c>
      <c r="G14" s="119">
        <v>1748329</v>
      </c>
      <c r="H14" s="119">
        <v>2105003</v>
      </c>
      <c r="I14" s="118">
        <v>207100</v>
      </c>
      <c r="J14" s="119">
        <v>50283</v>
      </c>
      <c r="K14" s="374" t="s">
        <v>674</v>
      </c>
      <c r="L14" s="374" t="s">
        <v>674</v>
      </c>
      <c r="M14" s="118">
        <v>11120</v>
      </c>
      <c r="N14" s="119">
        <v>3827058</v>
      </c>
      <c r="O14" s="119">
        <v>1689263</v>
      </c>
      <c r="P14" s="120">
        <v>6051867</v>
      </c>
    </row>
    <row r="15" spans="1:16" s="21" customFormat="1" ht="18.75" customHeight="1">
      <c r="A15" s="168" t="s">
        <v>396</v>
      </c>
      <c r="B15" s="117">
        <f>C15+N15+O15</f>
        <v>13260081</v>
      </c>
      <c r="C15" s="118">
        <f>SUM(D15:M15)</f>
        <v>9704317</v>
      </c>
      <c r="D15" s="118">
        <v>2262868</v>
      </c>
      <c r="E15" s="118">
        <v>467671</v>
      </c>
      <c r="F15" s="118">
        <v>2602569</v>
      </c>
      <c r="G15" s="119">
        <v>1645133</v>
      </c>
      <c r="H15" s="119">
        <v>2162930</v>
      </c>
      <c r="I15" s="118">
        <v>211071</v>
      </c>
      <c r="J15" s="119">
        <v>229651</v>
      </c>
      <c r="K15" s="374" t="s">
        <v>674</v>
      </c>
      <c r="L15" s="374" t="s">
        <v>674</v>
      </c>
      <c r="M15" s="118">
        <v>122424</v>
      </c>
      <c r="N15" s="119">
        <v>3099194</v>
      </c>
      <c r="O15" s="119">
        <v>456570</v>
      </c>
      <c r="P15" s="120">
        <v>6784273</v>
      </c>
    </row>
    <row r="16" spans="1:16" s="21" customFormat="1" ht="12.75" customHeight="1">
      <c r="A16" s="168"/>
      <c r="B16" s="117"/>
      <c r="C16" s="118"/>
      <c r="D16" s="118"/>
      <c r="E16" s="118"/>
      <c r="F16" s="118"/>
      <c r="G16" s="119"/>
      <c r="H16" s="119"/>
      <c r="I16" s="118"/>
      <c r="J16" s="119"/>
      <c r="K16" s="372"/>
      <c r="L16" s="372"/>
      <c r="M16" s="118"/>
      <c r="N16" s="119"/>
      <c r="O16" s="119"/>
      <c r="P16" s="120"/>
    </row>
    <row r="17" spans="1:16" s="21" customFormat="1" ht="18.75" customHeight="1">
      <c r="A17" s="168" t="s">
        <v>397</v>
      </c>
      <c r="B17" s="117">
        <f>C17+N17+O17</f>
        <v>15007649</v>
      </c>
      <c r="C17" s="118">
        <f>SUM(D17:M17)</f>
        <v>9986982</v>
      </c>
      <c r="D17" s="118">
        <v>2401690</v>
      </c>
      <c r="E17" s="118">
        <v>615515</v>
      </c>
      <c r="F17" s="118">
        <v>3026607</v>
      </c>
      <c r="G17" s="119">
        <v>1459180</v>
      </c>
      <c r="H17" s="119">
        <v>2119276</v>
      </c>
      <c r="I17" s="118">
        <v>226291</v>
      </c>
      <c r="J17" s="119">
        <v>13684</v>
      </c>
      <c r="K17" s="374" t="s">
        <v>674</v>
      </c>
      <c r="L17" s="374" t="s">
        <v>674</v>
      </c>
      <c r="M17" s="118">
        <v>124739</v>
      </c>
      <c r="N17" s="119">
        <v>3324213</v>
      </c>
      <c r="O17" s="119">
        <v>1696454</v>
      </c>
      <c r="P17" s="120">
        <v>7203503</v>
      </c>
    </row>
    <row r="18" spans="1:16" s="21" customFormat="1" ht="18.75" customHeight="1">
      <c r="A18" s="168" t="s">
        <v>398</v>
      </c>
      <c r="B18" s="117">
        <v>15288844</v>
      </c>
      <c r="C18" s="118">
        <v>11546737</v>
      </c>
      <c r="D18" s="118">
        <v>2654121</v>
      </c>
      <c r="E18" s="118">
        <v>728341</v>
      </c>
      <c r="F18" s="118">
        <v>3272489</v>
      </c>
      <c r="G18" s="119">
        <v>2408762</v>
      </c>
      <c r="H18" s="119">
        <v>2079403</v>
      </c>
      <c r="I18" s="118">
        <v>268109</v>
      </c>
      <c r="J18" s="119">
        <v>8720</v>
      </c>
      <c r="K18" s="374" t="s">
        <v>674</v>
      </c>
      <c r="L18" s="374" t="s">
        <v>674</v>
      </c>
      <c r="M18" s="118">
        <v>126795</v>
      </c>
      <c r="N18" s="119">
        <v>3109475</v>
      </c>
      <c r="O18" s="119">
        <v>632631</v>
      </c>
      <c r="P18" s="120">
        <v>6685106</v>
      </c>
    </row>
    <row r="19" spans="1:16" s="21" customFormat="1" ht="18.75" customHeight="1">
      <c r="A19" s="168" t="s">
        <v>399</v>
      </c>
      <c r="B19" s="117">
        <v>14362972</v>
      </c>
      <c r="C19" s="118">
        <v>10572356</v>
      </c>
      <c r="D19" s="118">
        <v>2760221</v>
      </c>
      <c r="E19" s="118">
        <v>661213</v>
      </c>
      <c r="F19" s="118">
        <v>2350051</v>
      </c>
      <c r="G19" s="119">
        <v>2395570</v>
      </c>
      <c r="H19" s="119">
        <v>2018461</v>
      </c>
      <c r="I19" s="118">
        <v>262733</v>
      </c>
      <c r="J19" s="119">
        <v>9930</v>
      </c>
      <c r="K19" s="379" t="s">
        <v>674</v>
      </c>
      <c r="L19" s="379" t="s">
        <v>674</v>
      </c>
      <c r="M19" s="118">
        <v>114176</v>
      </c>
      <c r="N19" s="119">
        <v>2444505</v>
      </c>
      <c r="O19" s="119">
        <v>1346112</v>
      </c>
      <c r="P19" s="120">
        <v>8451425</v>
      </c>
    </row>
    <row r="20" spans="1:16" s="21" customFormat="1" ht="12.75" customHeight="1">
      <c r="A20" s="169"/>
      <c r="B20" s="117"/>
      <c r="C20" s="118"/>
      <c r="D20" s="118"/>
      <c r="E20" s="118"/>
      <c r="F20" s="118"/>
      <c r="G20" s="119"/>
      <c r="H20" s="119"/>
      <c r="I20" s="118"/>
      <c r="J20" s="119"/>
      <c r="K20" s="118"/>
      <c r="L20" s="118"/>
      <c r="M20" s="118"/>
      <c r="N20" s="119"/>
      <c r="O20" s="119"/>
      <c r="P20" s="120"/>
    </row>
    <row r="21" spans="1:16" s="21" customFormat="1" ht="18.75" customHeight="1">
      <c r="A21" s="168" t="s">
        <v>343</v>
      </c>
      <c r="B21" s="117">
        <f>C21+N21+O21</f>
        <v>13183963</v>
      </c>
      <c r="C21" s="118">
        <f>SUM(D21:M21)</f>
        <v>10762070</v>
      </c>
      <c r="D21" s="118">
        <v>2733647</v>
      </c>
      <c r="E21" s="118">
        <f>SUM(E23:E34)</f>
        <v>674144</v>
      </c>
      <c r="F21" s="118">
        <f>SUM(F23:F34)</f>
        <v>2487950</v>
      </c>
      <c r="G21" s="118">
        <v>2467454</v>
      </c>
      <c r="H21" s="119">
        <v>1977795</v>
      </c>
      <c r="I21" s="118">
        <f>SUM(I23:I34)</f>
        <v>297963</v>
      </c>
      <c r="J21" s="118">
        <f>SUM(J23:J34)</f>
        <v>10675</v>
      </c>
      <c r="K21" s="379" t="s">
        <v>674</v>
      </c>
      <c r="L21" s="379" t="s">
        <v>674</v>
      </c>
      <c r="M21" s="118">
        <v>112442</v>
      </c>
      <c r="N21" s="373">
        <v>2091638</v>
      </c>
      <c r="O21" s="373">
        <v>330255</v>
      </c>
      <c r="P21" s="378">
        <v>9430323</v>
      </c>
    </row>
    <row r="22" spans="1:16" s="21" customFormat="1" ht="12.75" customHeight="1">
      <c r="A22" s="132"/>
      <c r="B22" s="117"/>
      <c r="C22" s="118"/>
      <c r="D22" s="118"/>
      <c r="E22" s="118"/>
      <c r="F22" s="118"/>
      <c r="G22" s="119"/>
      <c r="H22" s="119"/>
      <c r="I22" s="118"/>
      <c r="J22" s="119"/>
      <c r="K22" s="118"/>
      <c r="L22" s="118"/>
      <c r="M22" s="118"/>
      <c r="N22" s="119"/>
      <c r="O22" s="119"/>
      <c r="P22" s="120"/>
    </row>
    <row r="23" spans="1:16" s="21" customFormat="1" ht="18.75" customHeight="1">
      <c r="A23" s="172" t="s">
        <v>344</v>
      </c>
      <c r="B23" s="117">
        <v>562209</v>
      </c>
      <c r="C23" s="118">
        <f>SUM(D23:M23)</f>
        <v>826545</v>
      </c>
      <c r="D23" s="118">
        <v>243175</v>
      </c>
      <c r="E23" s="118">
        <v>35916</v>
      </c>
      <c r="F23" s="118">
        <v>316917</v>
      </c>
      <c r="G23" s="119">
        <v>36678</v>
      </c>
      <c r="H23" s="119">
        <v>101168</v>
      </c>
      <c r="I23" s="118">
        <v>91470</v>
      </c>
      <c r="J23" s="375" t="s">
        <v>674</v>
      </c>
      <c r="K23" s="374" t="s">
        <v>674</v>
      </c>
      <c r="L23" s="374" t="s">
        <v>674</v>
      </c>
      <c r="M23" s="118">
        <v>1221</v>
      </c>
      <c r="N23" s="119">
        <v>781</v>
      </c>
      <c r="O23" s="119">
        <f>30943-308748+2270+9447+920+50</f>
        <v>-265118</v>
      </c>
      <c r="P23" s="120">
        <v>8753908</v>
      </c>
    </row>
    <row r="24" spans="1:16" s="21" customFormat="1" ht="18.75" customHeight="1">
      <c r="A24" s="172" t="s">
        <v>345</v>
      </c>
      <c r="B24" s="117">
        <v>1510931</v>
      </c>
      <c r="C24" s="118">
        <v>1033827</v>
      </c>
      <c r="D24" s="118">
        <v>243190</v>
      </c>
      <c r="E24" s="118">
        <v>12563</v>
      </c>
      <c r="F24" s="118">
        <v>84661</v>
      </c>
      <c r="G24" s="119">
        <v>385514</v>
      </c>
      <c r="H24" s="119">
        <v>286719</v>
      </c>
      <c r="I24" s="118">
        <v>16804</v>
      </c>
      <c r="J24" s="373">
        <v>823</v>
      </c>
      <c r="K24" s="374" t="s">
        <v>674</v>
      </c>
      <c r="L24" s="374" t="s">
        <v>674</v>
      </c>
      <c r="M24" s="118">
        <v>3552</v>
      </c>
      <c r="N24" s="119">
        <v>245040</v>
      </c>
      <c r="O24" s="119">
        <f>20930-9411+219123+1423</f>
        <v>232065</v>
      </c>
      <c r="P24" s="120">
        <v>8529757</v>
      </c>
    </row>
    <row r="25" spans="1:16" s="21" customFormat="1" ht="18.75" customHeight="1">
      <c r="A25" s="172" t="s">
        <v>346</v>
      </c>
      <c r="B25" s="117">
        <v>892274</v>
      </c>
      <c r="C25" s="118">
        <v>640457</v>
      </c>
      <c r="D25" s="118">
        <v>181909</v>
      </c>
      <c r="E25" s="118">
        <v>15419</v>
      </c>
      <c r="F25" s="118">
        <v>95631</v>
      </c>
      <c r="G25" s="119">
        <v>118620</v>
      </c>
      <c r="H25" s="119">
        <v>141202</v>
      </c>
      <c r="I25" s="118">
        <v>79327</v>
      </c>
      <c r="J25" s="361" t="s">
        <v>674</v>
      </c>
      <c r="K25" s="374" t="s">
        <v>674</v>
      </c>
      <c r="L25" s="374" t="s">
        <v>674</v>
      </c>
      <c r="M25" s="118">
        <v>8348</v>
      </c>
      <c r="N25" s="119">
        <v>357545</v>
      </c>
      <c r="O25" s="119">
        <f>2835+51440-163814+3838-26</f>
        <v>-105727</v>
      </c>
      <c r="P25" s="120">
        <v>7756664</v>
      </c>
    </row>
    <row r="26" spans="1:16" s="21" customFormat="1" ht="18.75" customHeight="1">
      <c r="A26" s="172" t="s">
        <v>347</v>
      </c>
      <c r="B26" s="117">
        <v>870591</v>
      </c>
      <c r="C26" s="118">
        <v>615686</v>
      </c>
      <c r="D26" s="118">
        <v>215536</v>
      </c>
      <c r="E26" s="118">
        <v>36940</v>
      </c>
      <c r="F26" s="118">
        <v>70758</v>
      </c>
      <c r="G26" s="119">
        <v>119972</v>
      </c>
      <c r="H26" s="119">
        <v>145524</v>
      </c>
      <c r="I26" s="118">
        <v>2863</v>
      </c>
      <c r="J26" s="373">
        <v>207</v>
      </c>
      <c r="K26" s="374" t="s">
        <v>674</v>
      </c>
      <c r="L26" s="374" t="s">
        <v>674</v>
      </c>
      <c r="M26" s="118">
        <v>23885</v>
      </c>
      <c r="N26" s="119">
        <v>180961</v>
      </c>
      <c r="O26" s="119">
        <f>12734+18533+16927+4912-20+26+20833</f>
        <v>73945</v>
      </c>
      <c r="P26" s="120">
        <v>8179780</v>
      </c>
    </row>
    <row r="27" spans="1:16" s="21" customFormat="1" ht="18.75" customHeight="1">
      <c r="A27" s="172" t="s">
        <v>348</v>
      </c>
      <c r="B27" s="117">
        <f>C27+N27+O27</f>
        <v>811863</v>
      </c>
      <c r="C27" s="118">
        <v>572406</v>
      </c>
      <c r="D27" s="118">
        <v>172132</v>
      </c>
      <c r="E27" s="118">
        <v>48746</v>
      </c>
      <c r="F27" s="118">
        <v>87652</v>
      </c>
      <c r="G27" s="119">
        <v>124815</v>
      </c>
      <c r="H27" s="119">
        <v>127731</v>
      </c>
      <c r="I27" s="118">
        <v>3001</v>
      </c>
      <c r="J27" s="119">
        <v>3633</v>
      </c>
      <c r="K27" s="374" t="s">
        <v>674</v>
      </c>
      <c r="L27" s="374" t="s">
        <v>674</v>
      </c>
      <c r="M27" s="118">
        <v>4695</v>
      </c>
      <c r="N27" s="119">
        <v>199300</v>
      </c>
      <c r="O27" s="119">
        <f>5620+10198+12077+2679+20+9563</f>
        <v>40157</v>
      </c>
      <c r="P27" s="120">
        <v>8822045</v>
      </c>
    </row>
    <row r="28" spans="1:16" s="21" customFormat="1" ht="18.75" customHeight="1">
      <c r="A28" s="172" t="s">
        <v>349</v>
      </c>
      <c r="B28" s="117">
        <v>1086523</v>
      </c>
      <c r="C28" s="118">
        <v>833942</v>
      </c>
      <c r="D28" s="118">
        <v>194757</v>
      </c>
      <c r="E28" s="118">
        <v>25539</v>
      </c>
      <c r="F28" s="118">
        <v>135313</v>
      </c>
      <c r="G28" s="119">
        <v>346729</v>
      </c>
      <c r="H28" s="119">
        <v>125730</v>
      </c>
      <c r="I28" s="118">
        <v>-4520</v>
      </c>
      <c r="J28" s="119">
        <v>376</v>
      </c>
      <c r="K28" s="374" t="s">
        <v>674</v>
      </c>
      <c r="L28" s="374" t="s">
        <v>674</v>
      </c>
      <c r="M28" s="118">
        <v>10017</v>
      </c>
      <c r="N28" s="119">
        <v>154979</v>
      </c>
      <c r="O28" s="119">
        <f>27716-1866+63676+3066+11+5000</f>
        <v>97603</v>
      </c>
      <c r="P28" s="120">
        <v>10121448</v>
      </c>
    </row>
    <row r="29" spans="1:16" s="21" customFormat="1" ht="18.75" customHeight="1">
      <c r="A29" s="172" t="s">
        <v>350</v>
      </c>
      <c r="B29" s="117">
        <v>1075301</v>
      </c>
      <c r="C29" s="118">
        <f>SUM(D29:M29)</f>
        <v>895105</v>
      </c>
      <c r="D29" s="118">
        <v>299533</v>
      </c>
      <c r="E29" s="118">
        <v>38036</v>
      </c>
      <c r="F29" s="118">
        <v>151701</v>
      </c>
      <c r="G29" s="119">
        <v>175631</v>
      </c>
      <c r="H29" s="119">
        <v>131681</v>
      </c>
      <c r="I29" s="118">
        <v>95352</v>
      </c>
      <c r="J29" s="374" t="s">
        <v>674</v>
      </c>
      <c r="K29" s="374" t="s">
        <v>674</v>
      </c>
      <c r="L29" s="374" t="s">
        <v>674</v>
      </c>
      <c r="M29" s="118">
        <v>3171</v>
      </c>
      <c r="N29" s="119">
        <v>110638</v>
      </c>
      <c r="O29" s="119">
        <f>6041+53952+7133+2398+33</f>
        <v>69557</v>
      </c>
      <c r="P29" s="120">
        <v>9944646</v>
      </c>
    </row>
    <row r="30" spans="1:16" s="21" customFormat="1" ht="18.75" customHeight="1">
      <c r="A30" s="172" t="s">
        <v>351</v>
      </c>
      <c r="B30" s="117">
        <v>886735</v>
      </c>
      <c r="C30" s="118">
        <v>743830</v>
      </c>
      <c r="D30" s="118">
        <v>218193</v>
      </c>
      <c r="E30" s="118">
        <v>46490</v>
      </c>
      <c r="F30" s="118">
        <v>186208</v>
      </c>
      <c r="G30" s="119">
        <v>137270</v>
      </c>
      <c r="H30" s="119">
        <v>148005</v>
      </c>
      <c r="I30" s="118">
        <v>2494</v>
      </c>
      <c r="J30" s="372">
        <v>1080</v>
      </c>
      <c r="K30" s="374" t="s">
        <v>674</v>
      </c>
      <c r="L30" s="374" t="s">
        <v>674</v>
      </c>
      <c r="M30" s="372">
        <v>4089</v>
      </c>
      <c r="N30" s="119">
        <v>104686</v>
      </c>
      <c r="O30" s="119">
        <f>3140+2452+5516+443+26667</f>
        <v>38218</v>
      </c>
      <c r="P30" s="120">
        <v>9750590</v>
      </c>
    </row>
    <row r="31" spans="1:16" s="21" customFormat="1" ht="18.75" customHeight="1">
      <c r="A31" s="172" t="s">
        <v>352</v>
      </c>
      <c r="B31" s="117">
        <f>C31+N31+O31</f>
        <v>1033586</v>
      </c>
      <c r="C31" s="118">
        <v>881218</v>
      </c>
      <c r="D31" s="118">
        <v>166716</v>
      </c>
      <c r="E31" s="118">
        <v>43654</v>
      </c>
      <c r="F31" s="118">
        <v>173802</v>
      </c>
      <c r="G31" s="119">
        <v>351916</v>
      </c>
      <c r="H31" s="119">
        <v>137592</v>
      </c>
      <c r="I31" s="118">
        <v>3441</v>
      </c>
      <c r="J31" s="374" t="s">
        <v>674</v>
      </c>
      <c r="K31" s="374" t="s">
        <v>674</v>
      </c>
      <c r="L31" s="374" t="s">
        <v>674</v>
      </c>
      <c r="M31" s="118">
        <v>4099</v>
      </c>
      <c r="N31" s="119">
        <v>89213</v>
      </c>
      <c r="O31" s="119">
        <f>-13661+3409+72900+507</f>
        <v>63155</v>
      </c>
      <c r="P31" s="120">
        <v>9496515</v>
      </c>
    </row>
    <row r="32" spans="1:16" s="21" customFormat="1" ht="18.75" customHeight="1">
      <c r="A32" s="172" t="s">
        <v>353</v>
      </c>
      <c r="B32" s="117">
        <f>C32+N32+O32</f>
        <v>1180688</v>
      </c>
      <c r="C32" s="118">
        <v>1024374</v>
      </c>
      <c r="D32" s="118">
        <v>208951</v>
      </c>
      <c r="E32" s="118">
        <v>55539</v>
      </c>
      <c r="F32" s="118">
        <v>304193</v>
      </c>
      <c r="G32" s="119">
        <v>288299</v>
      </c>
      <c r="H32" s="119">
        <v>143736</v>
      </c>
      <c r="I32" s="118">
        <v>1624</v>
      </c>
      <c r="J32" s="372">
        <v>360</v>
      </c>
      <c r="K32" s="374" t="s">
        <v>674</v>
      </c>
      <c r="L32" s="374" t="s">
        <v>674</v>
      </c>
      <c r="M32" s="118">
        <v>21671</v>
      </c>
      <c r="N32" s="119">
        <v>86755</v>
      </c>
      <c r="O32" s="119">
        <f>46909+63388-61764+193+20833</f>
        <v>69559</v>
      </c>
      <c r="P32" s="120">
        <v>9379654</v>
      </c>
    </row>
    <row r="33" spans="1:16" s="21" customFormat="1" ht="18.75" customHeight="1">
      <c r="A33" s="172" t="s">
        <v>354</v>
      </c>
      <c r="B33" s="117">
        <f>C33+N33+O33</f>
        <v>1034572</v>
      </c>
      <c r="C33" s="118">
        <f>SUM(D33:M33)</f>
        <v>837273</v>
      </c>
      <c r="D33" s="118">
        <v>212384</v>
      </c>
      <c r="E33" s="118">
        <v>59284</v>
      </c>
      <c r="F33" s="118">
        <v>224052</v>
      </c>
      <c r="G33" s="119">
        <v>144647</v>
      </c>
      <c r="H33" s="119">
        <v>173416</v>
      </c>
      <c r="I33" s="118">
        <v>1907</v>
      </c>
      <c r="J33" s="119">
        <v>3761</v>
      </c>
      <c r="K33" s="374" t="s">
        <v>674</v>
      </c>
      <c r="L33" s="374" t="s">
        <v>674</v>
      </c>
      <c r="M33" s="118">
        <v>17822</v>
      </c>
      <c r="N33" s="119">
        <v>118474</v>
      </c>
      <c r="O33" s="119">
        <f>-1698+8100-22788+1332+20563+73316</f>
        <v>78825</v>
      </c>
      <c r="P33" s="120">
        <v>9695757</v>
      </c>
    </row>
    <row r="34" spans="1:16" s="21" customFormat="1" ht="18.75" customHeight="1" thickBot="1">
      <c r="A34" s="173" t="s">
        <v>355</v>
      </c>
      <c r="B34" s="124">
        <v>2238692</v>
      </c>
      <c r="C34" s="125">
        <v>1857407</v>
      </c>
      <c r="D34" s="125">
        <v>377168</v>
      </c>
      <c r="E34" s="125">
        <v>256018</v>
      </c>
      <c r="F34" s="125">
        <v>657062</v>
      </c>
      <c r="G34" s="126">
        <v>237361</v>
      </c>
      <c r="H34" s="126">
        <v>315290</v>
      </c>
      <c r="I34" s="125">
        <v>4200</v>
      </c>
      <c r="J34" s="126">
        <v>435</v>
      </c>
      <c r="K34" s="376" t="s">
        <v>674</v>
      </c>
      <c r="L34" s="376" t="s">
        <v>674</v>
      </c>
      <c r="M34" s="125">
        <v>9874</v>
      </c>
      <c r="N34" s="126">
        <v>443268</v>
      </c>
      <c r="O34" s="126">
        <f>-14804+129087-207782+2382+29169-50+16</f>
        <v>-61982</v>
      </c>
      <c r="P34" s="127">
        <v>9430323</v>
      </c>
    </row>
    <row r="35" s="21" customFormat="1" ht="12.75">
      <c r="A35" s="35"/>
    </row>
  </sheetData>
  <mergeCells count="10">
    <mergeCell ref="A7:A8"/>
    <mergeCell ref="A3:H3"/>
    <mergeCell ref="N6:N7"/>
    <mergeCell ref="A2:H2"/>
    <mergeCell ref="B6:B7"/>
    <mergeCell ref="C6:H6"/>
    <mergeCell ref="O6:O7"/>
    <mergeCell ref="I2:P2"/>
    <mergeCell ref="I3:P3"/>
    <mergeCell ref="P5:P7"/>
  </mergeCells>
  <printOptions/>
  <pageMargins left="1.1811023622047245" right="1.1811023622047245" top="1.5748031496062993" bottom="1.5748031496062993" header="0.5118110236220472" footer="0.9055118110236221"/>
  <pageSetup firstPageNumber="286"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16.xml><?xml version="1.0" encoding="utf-8"?>
<worksheet xmlns="http://schemas.openxmlformats.org/spreadsheetml/2006/main" xmlns:r="http://schemas.openxmlformats.org/officeDocument/2006/relationships">
  <sheetPr>
    <tabColor indexed="17"/>
  </sheetPr>
  <dimension ref="A1:O40"/>
  <sheetViews>
    <sheetView showGridLines="0" zoomScale="120" zoomScaleNormal="120" workbookViewId="0" topLeftCell="A1">
      <selection activeCell="A1" sqref="A1"/>
    </sheetView>
  </sheetViews>
  <sheetFormatPr defaultColWidth="9.00390625" defaultRowHeight="16.5"/>
  <cols>
    <col min="1" max="1" width="11.625" style="13" customWidth="1"/>
    <col min="2" max="2" width="13.625" style="13" customWidth="1"/>
    <col min="3" max="7" width="10.00390625" style="13" customWidth="1"/>
    <col min="8" max="8" width="12.625" style="13" customWidth="1"/>
    <col min="9" max="10" width="10.125" style="13" customWidth="1"/>
    <col min="11" max="13" width="10.625" style="13" customWidth="1"/>
    <col min="14" max="14" width="10.125" style="13" customWidth="1"/>
    <col min="15" max="16384" width="9.00390625" style="13" customWidth="1"/>
  </cols>
  <sheetData>
    <row r="1" spans="1:14" s="14" customFormat="1" ht="18" customHeight="1">
      <c r="A1" s="177" t="s">
        <v>823</v>
      </c>
      <c r="B1" s="26"/>
      <c r="C1" s="26"/>
      <c r="D1" s="26"/>
      <c r="E1" s="26"/>
      <c r="N1" s="49" t="s">
        <v>833</v>
      </c>
    </row>
    <row r="2" spans="1:14" s="16" customFormat="1" ht="24.75" customHeight="1">
      <c r="A2" s="434" t="s">
        <v>490</v>
      </c>
      <c r="B2" s="433"/>
      <c r="C2" s="433"/>
      <c r="D2" s="433"/>
      <c r="E2" s="433"/>
      <c r="F2" s="433"/>
      <c r="G2" s="433"/>
      <c r="H2" s="433" t="s">
        <v>491</v>
      </c>
      <c r="I2" s="433"/>
      <c r="J2" s="433"/>
      <c r="K2" s="433"/>
      <c r="L2" s="433"/>
      <c r="M2" s="433"/>
      <c r="N2" s="433"/>
    </row>
    <row r="3" spans="3:14" s="367" customFormat="1" ht="18.75" customHeight="1">
      <c r="C3" s="388"/>
      <c r="D3" s="368" t="s">
        <v>492</v>
      </c>
      <c r="E3" s="388"/>
      <c r="F3" s="388"/>
      <c r="H3" s="439" t="s">
        <v>493</v>
      </c>
      <c r="I3" s="439"/>
      <c r="J3" s="439"/>
      <c r="K3" s="439"/>
      <c r="L3" s="439"/>
      <c r="M3" s="439"/>
      <c r="N3" s="439"/>
    </row>
    <row r="4" spans="1:14" s="14" customFormat="1" ht="15" customHeight="1" thickBot="1">
      <c r="A4" s="6"/>
      <c r="B4" s="1"/>
      <c r="C4" s="15"/>
      <c r="D4" s="15"/>
      <c r="E4" s="15"/>
      <c r="F4" s="15"/>
      <c r="G4" s="284" t="s">
        <v>239</v>
      </c>
      <c r="H4" s="31"/>
      <c r="I4" s="1"/>
      <c r="J4" s="1"/>
      <c r="K4" s="1"/>
      <c r="L4" s="1"/>
      <c r="N4" s="49" t="s">
        <v>496</v>
      </c>
    </row>
    <row r="5" spans="1:14" s="52" customFormat="1" ht="30.75" customHeight="1">
      <c r="A5" s="484" t="s">
        <v>676</v>
      </c>
      <c r="B5" s="485"/>
      <c r="C5" s="270" t="s">
        <v>839</v>
      </c>
      <c r="D5" s="270" t="s">
        <v>840</v>
      </c>
      <c r="E5" s="220" t="s">
        <v>841</v>
      </c>
      <c r="F5" s="220" t="s">
        <v>469</v>
      </c>
      <c r="G5" s="271" t="s">
        <v>842</v>
      </c>
      <c r="H5" s="219" t="s">
        <v>843</v>
      </c>
      <c r="I5" s="220" t="s">
        <v>677</v>
      </c>
      <c r="J5" s="271" t="s">
        <v>844</v>
      </c>
      <c r="K5" s="220" t="s">
        <v>470</v>
      </c>
      <c r="L5" s="220" t="s">
        <v>471</v>
      </c>
      <c r="M5" s="220" t="s">
        <v>472</v>
      </c>
      <c r="N5" s="386" t="s">
        <v>845</v>
      </c>
    </row>
    <row r="6" spans="1:14" s="56" customFormat="1" ht="30.75" customHeight="1" thickBot="1">
      <c r="A6" s="444" t="s">
        <v>768</v>
      </c>
      <c r="B6" s="431"/>
      <c r="C6" s="57" t="s">
        <v>769</v>
      </c>
      <c r="D6" s="57" t="s">
        <v>770</v>
      </c>
      <c r="E6" s="58" t="s">
        <v>771</v>
      </c>
      <c r="F6" s="58" t="s">
        <v>772</v>
      </c>
      <c r="G6" s="58" t="s">
        <v>773</v>
      </c>
      <c r="H6" s="57" t="s">
        <v>774</v>
      </c>
      <c r="I6" s="58" t="s">
        <v>775</v>
      </c>
      <c r="J6" s="58" t="s">
        <v>776</v>
      </c>
      <c r="K6" s="58" t="s">
        <v>777</v>
      </c>
      <c r="L6" s="58" t="s">
        <v>778</v>
      </c>
      <c r="M6" s="58" t="s">
        <v>779</v>
      </c>
      <c r="N6" s="59" t="s">
        <v>780</v>
      </c>
    </row>
    <row r="7" spans="1:15" s="81" customFormat="1" ht="16.5" customHeight="1">
      <c r="A7" s="142" t="s">
        <v>473</v>
      </c>
      <c r="B7" s="255" t="s">
        <v>474</v>
      </c>
      <c r="C7" s="380">
        <f>SUM(D7:N7)</f>
        <v>12027150</v>
      </c>
      <c r="D7" s="9">
        <v>5414783</v>
      </c>
      <c r="E7" s="387" t="s">
        <v>475</v>
      </c>
      <c r="F7" s="3">
        <v>24669</v>
      </c>
      <c r="G7" s="3">
        <f>648635+17814</f>
        <v>666449</v>
      </c>
      <c r="H7" s="242" t="s">
        <v>475</v>
      </c>
      <c r="I7" s="3">
        <v>3177</v>
      </c>
      <c r="J7" s="9">
        <v>739941</v>
      </c>
      <c r="K7" s="9">
        <v>8200</v>
      </c>
      <c r="L7" s="9">
        <v>4692875</v>
      </c>
      <c r="M7" s="15">
        <v>802</v>
      </c>
      <c r="N7" s="4">
        <v>476254</v>
      </c>
      <c r="O7" s="136"/>
    </row>
    <row r="8" spans="1:14" s="81" customFormat="1" ht="23.25" customHeight="1">
      <c r="A8" s="142">
        <v>1998</v>
      </c>
      <c r="B8" s="255" t="s">
        <v>476</v>
      </c>
      <c r="C8" s="380">
        <f>SUM(D8:N8)</f>
        <v>13317497</v>
      </c>
      <c r="D8" s="3">
        <v>5568309</v>
      </c>
      <c r="E8" s="336" t="s">
        <v>477</v>
      </c>
      <c r="F8" s="3">
        <v>28152</v>
      </c>
      <c r="G8" s="3">
        <f>677549+23841</f>
        <v>701390</v>
      </c>
      <c r="H8" s="242" t="s">
        <v>477</v>
      </c>
      <c r="I8" s="3">
        <v>3177</v>
      </c>
      <c r="J8" s="381">
        <v>483175</v>
      </c>
      <c r="K8" s="50">
        <v>8200</v>
      </c>
      <c r="L8" s="15">
        <v>5568733</v>
      </c>
      <c r="M8" s="382">
        <v>959</v>
      </c>
      <c r="N8" s="4">
        <v>955402</v>
      </c>
    </row>
    <row r="9" spans="1:14" s="14" customFormat="1" ht="5.25" customHeight="1">
      <c r="A9" s="142"/>
      <c r="B9" s="48"/>
      <c r="C9" s="9"/>
      <c r="D9" s="9"/>
      <c r="E9" s="3"/>
      <c r="F9" s="3"/>
      <c r="G9" s="3"/>
      <c r="H9" s="9"/>
      <c r="I9" s="3"/>
      <c r="J9" s="3"/>
      <c r="K9" s="3"/>
      <c r="L9" s="3"/>
      <c r="M9" s="3"/>
      <c r="N9" s="4"/>
    </row>
    <row r="10" spans="1:15" s="81" customFormat="1" ht="16.5" customHeight="1">
      <c r="A10" s="142" t="s">
        <v>478</v>
      </c>
      <c r="B10" s="255" t="s">
        <v>479</v>
      </c>
      <c r="C10" s="380">
        <f>SUM(D10:N10)</f>
        <v>13043342</v>
      </c>
      <c r="D10" s="9">
        <v>5593440</v>
      </c>
      <c r="E10" s="387" t="s">
        <v>477</v>
      </c>
      <c r="F10" s="3">
        <v>27469</v>
      </c>
      <c r="G10" s="3">
        <v>736842</v>
      </c>
      <c r="H10" s="242" t="s">
        <v>477</v>
      </c>
      <c r="I10" s="3">
        <v>3186</v>
      </c>
      <c r="J10" s="9">
        <v>385572</v>
      </c>
      <c r="K10" s="9">
        <v>10677</v>
      </c>
      <c r="L10" s="9">
        <v>5948421</v>
      </c>
      <c r="M10" s="15">
        <v>2302</v>
      </c>
      <c r="N10" s="4">
        <v>335433</v>
      </c>
      <c r="O10" s="136"/>
    </row>
    <row r="11" spans="1:14" s="81" customFormat="1" ht="23.25" customHeight="1">
      <c r="A11" s="142">
        <v>1999</v>
      </c>
      <c r="B11" s="255" t="s">
        <v>476</v>
      </c>
      <c r="C11" s="380">
        <f>SUM(D11:N11)</f>
        <v>14461234</v>
      </c>
      <c r="D11" s="3">
        <v>5802774</v>
      </c>
      <c r="E11" s="336" t="s">
        <v>477</v>
      </c>
      <c r="F11" s="3">
        <v>27469</v>
      </c>
      <c r="G11" s="3">
        <f>710561+33280</f>
        <v>743841</v>
      </c>
      <c r="H11" s="242" t="s">
        <v>477</v>
      </c>
      <c r="I11" s="3">
        <v>3186</v>
      </c>
      <c r="J11" s="381">
        <v>422376</v>
      </c>
      <c r="K11" s="50">
        <v>10677</v>
      </c>
      <c r="L11" s="15">
        <v>7111467</v>
      </c>
      <c r="M11" s="382">
        <v>4011</v>
      </c>
      <c r="N11" s="4">
        <v>335433</v>
      </c>
    </row>
    <row r="12" spans="1:14" s="14" customFormat="1" ht="5.25" customHeight="1">
      <c r="A12" s="142"/>
      <c r="B12" s="48"/>
      <c r="C12" s="9"/>
      <c r="D12" s="9"/>
      <c r="E12" s="3"/>
      <c r="F12" s="3"/>
      <c r="G12" s="3"/>
      <c r="H12" s="9"/>
      <c r="I12" s="3"/>
      <c r="J12" s="3"/>
      <c r="K12" s="3"/>
      <c r="L12" s="3"/>
      <c r="M12" s="3"/>
      <c r="N12" s="4"/>
    </row>
    <row r="13" spans="1:15" s="81" customFormat="1" ht="16.5" customHeight="1">
      <c r="A13" s="443" t="s">
        <v>480</v>
      </c>
      <c r="B13" s="255" t="s">
        <v>481</v>
      </c>
      <c r="C13" s="380">
        <f>SUM(D13:N13)</f>
        <v>20361796</v>
      </c>
      <c r="D13" s="9">
        <v>8040689</v>
      </c>
      <c r="E13" s="242" t="s">
        <v>385</v>
      </c>
      <c r="F13" s="3">
        <v>45757</v>
      </c>
      <c r="G13" s="3">
        <v>1116251</v>
      </c>
      <c r="H13" s="322" t="s">
        <v>385</v>
      </c>
      <c r="I13" s="3">
        <v>12766</v>
      </c>
      <c r="J13" s="9">
        <v>783861</v>
      </c>
      <c r="K13" s="9">
        <v>41925</v>
      </c>
      <c r="L13" s="9">
        <v>9598999</v>
      </c>
      <c r="M13" s="15">
        <v>1453</v>
      </c>
      <c r="N13" s="4">
        <v>720095</v>
      </c>
      <c r="O13" s="136"/>
    </row>
    <row r="14" spans="1:14" s="81" customFormat="1" ht="23.25" customHeight="1">
      <c r="A14" s="443"/>
      <c r="B14" s="255" t="s">
        <v>476</v>
      </c>
      <c r="C14" s="380">
        <f>SUM(D14:N14)</f>
        <v>22714430</v>
      </c>
      <c r="D14" s="3">
        <v>9715669</v>
      </c>
      <c r="E14" s="15">
        <v>2078</v>
      </c>
      <c r="F14" s="3">
        <v>46557</v>
      </c>
      <c r="G14" s="3">
        <f>1011245+43000</f>
        <v>1054245</v>
      </c>
      <c r="H14" s="322" t="s">
        <v>477</v>
      </c>
      <c r="I14" s="3">
        <v>12766</v>
      </c>
      <c r="J14" s="381">
        <v>896687</v>
      </c>
      <c r="K14" s="50">
        <v>43225</v>
      </c>
      <c r="L14" s="15">
        <v>10223701</v>
      </c>
      <c r="M14" s="382">
        <v>144996</v>
      </c>
      <c r="N14" s="4">
        <v>574506</v>
      </c>
    </row>
    <row r="15" spans="1:14" s="14" customFormat="1" ht="5.25" customHeight="1">
      <c r="A15" s="142"/>
      <c r="B15" s="48"/>
      <c r="C15" s="9"/>
      <c r="D15" s="9"/>
      <c r="E15" s="3"/>
      <c r="F15" s="3"/>
      <c r="G15" s="3"/>
      <c r="H15" s="9"/>
      <c r="I15" s="3"/>
      <c r="J15" s="3"/>
      <c r="K15" s="3"/>
      <c r="L15" s="3"/>
      <c r="M15" s="3"/>
      <c r="N15" s="4"/>
    </row>
    <row r="16" spans="1:15" s="81" customFormat="1" ht="16.5" customHeight="1">
      <c r="A16" s="142" t="s">
        <v>482</v>
      </c>
      <c r="B16" s="255" t="s">
        <v>479</v>
      </c>
      <c r="C16" s="380">
        <f>SUM(D16:N16)</f>
        <v>14138705</v>
      </c>
      <c r="D16" s="9">
        <v>6832311</v>
      </c>
      <c r="E16" s="9">
        <v>2000</v>
      </c>
      <c r="F16" s="3">
        <v>25781</v>
      </c>
      <c r="G16" s="3">
        <f>640115-458610</f>
        <v>181505</v>
      </c>
      <c r="H16" s="316">
        <v>458610</v>
      </c>
      <c r="I16" s="3">
        <v>19747</v>
      </c>
      <c r="J16" s="9">
        <v>834233</v>
      </c>
      <c r="K16" s="9">
        <v>116784</v>
      </c>
      <c r="L16" s="9">
        <v>4739100</v>
      </c>
      <c r="M16" s="15">
        <v>903</v>
      </c>
      <c r="N16" s="4">
        <v>927731</v>
      </c>
      <c r="O16" s="136"/>
    </row>
    <row r="17" spans="1:14" s="81" customFormat="1" ht="23.25" customHeight="1">
      <c r="A17" s="142">
        <v>2001</v>
      </c>
      <c r="B17" s="255" t="s">
        <v>476</v>
      </c>
      <c r="C17" s="380">
        <f>SUM(D17:N17)</f>
        <v>15503465</v>
      </c>
      <c r="D17" s="3">
        <v>7339083</v>
      </c>
      <c r="E17" s="15">
        <v>2000</v>
      </c>
      <c r="F17" s="3">
        <v>17606</v>
      </c>
      <c r="G17" s="3">
        <f>587639+82000-458610</f>
        <v>211029</v>
      </c>
      <c r="H17" s="316">
        <v>458610</v>
      </c>
      <c r="I17" s="3">
        <v>19747</v>
      </c>
      <c r="J17" s="381">
        <v>881716</v>
      </c>
      <c r="K17" s="50">
        <v>116784</v>
      </c>
      <c r="L17" s="15">
        <v>5529862</v>
      </c>
      <c r="M17" s="382">
        <v>81161</v>
      </c>
      <c r="N17" s="4">
        <v>845867</v>
      </c>
    </row>
    <row r="18" spans="1:14" s="14" customFormat="1" ht="5.25" customHeight="1">
      <c r="A18" s="142"/>
      <c r="B18" s="48"/>
      <c r="C18" s="9"/>
      <c r="D18" s="9"/>
      <c r="E18" s="3"/>
      <c r="F18" s="3"/>
      <c r="G18" s="3"/>
      <c r="H18" s="9"/>
      <c r="I18" s="3"/>
      <c r="J18" s="3"/>
      <c r="K18" s="3"/>
      <c r="L18" s="3"/>
      <c r="M18" s="3"/>
      <c r="N18" s="4"/>
    </row>
    <row r="19" spans="1:15" s="81" customFormat="1" ht="16.5" customHeight="1">
      <c r="A19" s="142" t="s">
        <v>483</v>
      </c>
      <c r="B19" s="255" t="s">
        <v>479</v>
      </c>
      <c r="C19" s="380">
        <f>SUM(D19:N19)</f>
        <v>11688846</v>
      </c>
      <c r="D19" s="9">
        <v>6933282</v>
      </c>
      <c r="E19" s="9">
        <v>500</v>
      </c>
      <c r="F19" s="3">
        <v>13700</v>
      </c>
      <c r="G19" s="3">
        <f>673842-462538</f>
        <v>211304</v>
      </c>
      <c r="H19" s="316">
        <v>462538</v>
      </c>
      <c r="I19" s="3">
        <v>19150</v>
      </c>
      <c r="J19" s="9">
        <v>180713</v>
      </c>
      <c r="K19" s="9">
        <v>15296</v>
      </c>
      <c r="L19" s="9">
        <v>3131413</v>
      </c>
      <c r="M19" s="15">
        <v>80703</v>
      </c>
      <c r="N19" s="4">
        <v>640247</v>
      </c>
      <c r="O19" s="136"/>
    </row>
    <row r="20" spans="1:14" s="81" customFormat="1" ht="23.25" customHeight="1">
      <c r="A20" s="142">
        <v>2002</v>
      </c>
      <c r="B20" s="255" t="s">
        <v>476</v>
      </c>
      <c r="C20" s="380">
        <f>SUM(D20:N20)</f>
        <v>13571691</v>
      </c>
      <c r="D20" s="3">
        <v>7050665</v>
      </c>
      <c r="E20" s="15">
        <v>3500</v>
      </c>
      <c r="F20" s="3">
        <v>15078</v>
      </c>
      <c r="G20" s="3">
        <f>563006+58100-462538</f>
        <v>158568</v>
      </c>
      <c r="H20" s="316">
        <v>462538</v>
      </c>
      <c r="I20" s="3">
        <v>21850</v>
      </c>
      <c r="J20" s="381">
        <v>197377</v>
      </c>
      <c r="K20" s="50">
        <v>16225</v>
      </c>
      <c r="L20" s="15">
        <v>4894060</v>
      </c>
      <c r="M20" s="382">
        <v>80803</v>
      </c>
      <c r="N20" s="4">
        <v>671027</v>
      </c>
    </row>
    <row r="21" spans="1:14" s="14" customFormat="1" ht="5.25" customHeight="1">
      <c r="A21" s="142"/>
      <c r="B21" s="48"/>
      <c r="C21" s="9"/>
      <c r="D21" s="9"/>
      <c r="E21" s="3"/>
      <c r="F21" s="3"/>
      <c r="G21" s="3"/>
      <c r="H21" s="9"/>
      <c r="I21" s="3"/>
      <c r="J21" s="3"/>
      <c r="K21" s="3"/>
      <c r="L21" s="3"/>
      <c r="M21" s="3"/>
      <c r="N21" s="4"/>
    </row>
    <row r="22" spans="1:14" s="81" customFormat="1" ht="16.5" customHeight="1">
      <c r="A22" s="142" t="s">
        <v>484</v>
      </c>
      <c r="B22" s="255" t="s">
        <v>479</v>
      </c>
      <c r="C22" s="380">
        <f>SUM(D22:N22)</f>
        <v>11678660</v>
      </c>
      <c r="D22" s="3">
        <v>6565395</v>
      </c>
      <c r="E22" s="15">
        <v>1000</v>
      </c>
      <c r="F22" s="3">
        <v>12344</v>
      </c>
      <c r="G22" s="3">
        <f>487845-285453</f>
        <v>202392</v>
      </c>
      <c r="H22" s="316">
        <v>285453</v>
      </c>
      <c r="I22" s="3">
        <v>10527</v>
      </c>
      <c r="J22" s="381">
        <v>308043</v>
      </c>
      <c r="K22" s="50">
        <v>16546</v>
      </c>
      <c r="L22" s="15">
        <v>3559578</v>
      </c>
      <c r="M22" s="382">
        <v>228205</v>
      </c>
      <c r="N22" s="4">
        <v>489177</v>
      </c>
    </row>
    <row r="23" spans="1:14" s="81" customFormat="1" ht="23.25" customHeight="1">
      <c r="A23" s="142">
        <v>2003</v>
      </c>
      <c r="B23" s="255" t="s">
        <v>476</v>
      </c>
      <c r="C23" s="380">
        <f>SUM(D23:N23)</f>
        <v>12012654</v>
      </c>
      <c r="D23" s="3">
        <v>6528980</v>
      </c>
      <c r="E23" s="15">
        <v>1000</v>
      </c>
      <c r="F23" s="3">
        <v>12344</v>
      </c>
      <c r="G23" s="3">
        <f>446243+40817-285453</f>
        <v>201607</v>
      </c>
      <c r="H23" s="316">
        <v>285453</v>
      </c>
      <c r="I23" s="3">
        <v>10728</v>
      </c>
      <c r="J23" s="381">
        <v>294894</v>
      </c>
      <c r="K23" s="50">
        <v>16546</v>
      </c>
      <c r="L23" s="15">
        <v>3944450</v>
      </c>
      <c r="M23" s="382">
        <v>228205</v>
      </c>
      <c r="N23" s="4">
        <v>488447</v>
      </c>
    </row>
    <row r="24" spans="1:14" s="14" customFormat="1" ht="5.25" customHeight="1">
      <c r="A24" s="142"/>
      <c r="B24" s="48"/>
      <c r="C24" s="9"/>
      <c r="D24" s="9"/>
      <c r="E24" s="3"/>
      <c r="F24" s="3"/>
      <c r="G24" s="3"/>
      <c r="H24" s="9"/>
      <c r="I24" s="3"/>
      <c r="J24" s="3"/>
      <c r="K24" s="3"/>
      <c r="L24" s="3"/>
      <c r="M24" s="3"/>
      <c r="N24" s="4"/>
    </row>
    <row r="25" spans="1:14" s="81" customFormat="1" ht="16.5" customHeight="1">
      <c r="A25" s="142" t="s">
        <v>485</v>
      </c>
      <c r="B25" s="255" t="s">
        <v>479</v>
      </c>
      <c r="C25" s="380">
        <f>SUM(D25:N25)</f>
        <v>11749000</v>
      </c>
      <c r="D25" s="3">
        <v>6630095</v>
      </c>
      <c r="E25" s="15">
        <v>1000</v>
      </c>
      <c r="F25" s="3">
        <v>11759</v>
      </c>
      <c r="G25" s="3">
        <f>461355-251472</f>
        <v>209883</v>
      </c>
      <c r="H25" s="316">
        <v>251472</v>
      </c>
      <c r="I25" s="3">
        <v>6078</v>
      </c>
      <c r="J25" s="381">
        <v>154309</v>
      </c>
      <c r="K25" s="50">
        <v>43677</v>
      </c>
      <c r="L25" s="15">
        <v>3865349</v>
      </c>
      <c r="M25" s="382">
        <v>175299</v>
      </c>
      <c r="N25" s="4">
        <v>400079</v>
      </c>
    </row>
    <row r="26" spans="1:14" s="81" customFormat="1" ht="23.25" customHeight="1">
      <c r="A26" s="142">
        <v>2004</v>
      </c>
      <c r="B26" s="255" t="s">
        <v>476</v>
      </c>
      <c r="C26" s="380">
        <f>SUM(D26:N26)</f>
        <v>11749000</v>
      </c>
      <c r="D26" s="3">
        <v>6630095</v>
      </c>
      <c r="E26" s="15">
        <v>1000</v>
      </c>
      <c r="F26" s="3">
        <v>11759</v>
      </c>
      <c r="G26" s="3">
        <f>461355-251472</f>
        <v>209883</v>
      </c>
      <c r="H26" s="316">
        <v>251472</v>
      </c>
      <c r="I26" s="3">
        <v>6078</v>
      </c>
      <c r="J26" s="381">
        <v>154309</v>
      </c>
      <c r="K26" s="50">
        <v>43677</v>
      </c>
      <c r="L26" s="15">
        <v>3865349</v>
      </c>
      <c r="M26" s="382">
        <v>175299</v>
      </c>
      <c r="N26" s="4">
        <v>400079</v>
      </c>
    </row>
    <row r="27" spans="1:14" s="14" customFormat="1" ht="5.25" customHeight="1">
      <c r="A27" s="142"/>
      <c r="B27" s="48"/>
      <c r="C27" s="9"/>
      <c r="D27" s="9"/>
      <c r="E27" s="3"/>
      <c r="F27" s="3"/>
      <c r="G27" s="3"/>
      <c r="H27" s="9"/>
      <c r="I27" s="3"/>
      <c r="J27" s="3"/>
      <c r="K27" s="3"/>
      <c r="L27" s="3"/>
      <c r="M27" s="3"/>
      <c r="N27" s="4"/>
    </row>
    <row r="28" spans="1:14" s="81" customFormat="1" ht="16.5" customHeight="1">
      <c r="A28" s="142" t="s">
        <v>486</v>
      </c>
      <c r="B28" s="255" t="s">
        <v>479</v>
      </c>
      <c r="C28" s="380">
        <f>SUM(D28:N28)</f>
        <v>12218792</v>
      </c>
      <c r="D28" s="3">
        <v>7523800</v>
      </c>
      <c r="E28" s="15">
        <v>26000</v>
      </c>
      <c r="F28" s="3">
        <v>14466</v>
      </c>
      <c r="G28" s="3">
        <v>185806</v>
      </c>
      <c r="H28" s="316">
        <v>255702</v>
      </c>
      <c r="I28" s="3">
        <v>6025</v>
      </c>
      <c r="J28" s="381">
        <v>545953</v>
      </c>
      <c r="K28" s="50">
        <v>10149</v>
      </c>
      <c r="L28" s="15">
        <v>2940618</v>
      </c>
      <c r="M28" s="382">
        <v>326467</v>
      </c>
      <c r="N28" s="4">
        <v>383806</v>
      </c>
    </row>
    <row r="29" spans="1:14" s="81" customFormat="1" ht="23.25" customHeight="1">
      <c r="A29" s="142">
        <v>2005</v>
      </c>
      <c r="B29" s="255" t="s">
        <v>476</v>
      </c>
      <c r="C29" s="380">
        <f>SUM(D29:N29)</f>
        <v>12218792</v>
      </c>
      <c r="D29" s="3">
        <v>7523800</v>
      </c>
      <c r="E29" s="15">
        <v>26000</v>
      </c>
      <c r="F29" s="3">
        <v>14466</v>
      </c>
      <c r="G29" s="3">
        <v>185806</v>
      </c>
      <c r="H29" s="316">
        <v>255702</v>
      </c>
      <c r="I29" s="3">
        <v>6025</v>
      </c>
      <c r="J29" s="381">
        <v>545953</v>
      </c>
      <c r="K29" s="50">
        <v>10149</v>
      </c>
      <c r="L29" s="15">
        <v>2940618</v>
      </c>
      <c r="M29" s="382">
        <v>326467</v>
      </c>
      <c r="N29" s="4">
        <v>383806</v>
      </c>
    </row>
    <row r="30" spans="1:14" s="14" customFormat="1" ht="5.25" customHeight="1">
      <c r="A30" s="142"/>
      <c r="B30" s="48"/>
      <c r="C30" s="9"/>
      <c r="D30" s="9"/>
      <c r="E30" s="3"/>
      <c r="F30" s="3"/>
      <c r="G30" s="3"/>
      <c r="H30" s="9"/>
      <c r="I30" s="3"/>
      <c r="J30" s="3"/>
      <c r="K30" s="3"/>
      <c r="L30" s="3"/>
      <c r="M30" s="3"/>
      <c r="N30" s="4"/>
    </row>
    <row r="31" spans="1:14" s="81" customFormat="1" ht="16.5" customHeight="1">
      <c r="A31" s="142" t="s">
        <v>487</v>
      </c>
      <c r="B31" s="255" t="s">
        <v>479</v>
      </c>
      <c r="C31" s="380">
        <f>SUM(D31:N31)</f>
        <v>11618727</v>
      </c>
      <c r="D31" s="3">
        <v>7810004</v>
      </c>
      <c r="E31" s="15">
        <v>10000</v>
      </c>
      <c r="F31" s="3">
        <v>11804</v>
      </c>
      <c r="G31" s="3">
        <v>472448</v>
      </c>
      <c r="H31" s="322" t="s">
        <v>477</v>
      </c>
      <c r="I31" s="3">
        <v>6189</v>
      </c>
      <c r="J31" s="381">
        <v>259335</v>
      </c>
      <c r="K31" s="50">
        <v>3000</v>
      </c>
      <c r="L31" s="15">
        <v>2360259</v>
      </c>
      <c r="M31" s="382">
        <v>311291</v>
      </c>
      <c r="N31" s="4">
        <v>374397</v>
      </c>
    </row>
    <row r="32" spans="1:14" s="81" customFormat="1" ht="23.25" customHeight="1">
      <c r="A32" s="142">
        <v>2006</v>
      </c>
      <c r="B32" s="255" t="s">
        <v>476</v>
      </c>
      <c r="C32" s="380">
        <f>SUM(D32:N32)</f>
        <v>11618727</v>
      </c>
      <c r="D32" s="3">
        <v>7810004</v>
      </c>
      <c r="E32" s="15">
        <v>10000</v>
      </c>
      <c r="F32" s="3">
        <v>11804</v>
      </c>
      <c r="G32" s="3">
        <v>472448</v>
      </c>
      <c r="H32" s="242" t="s">
        <v>477</v>
      </c>
      <c r="I32" s="3">
        <v>6189</v>
      </c>
      <c r="J32" s="381">
        <v>259335</v>
      </c>
      <c r="K32" s="50">
        <v>3000</v>
      </c>
      <c r="L32" s="15">
        <v>2360259</v>
      </c>
      <c r="M32" s="382">
        <v>311291</v>
      </c>
      <c r="N32" s="4">
        <v>374397</v>
      </c>
    </row>
    <row r="33" spans="1:14" s="1" customFormat="1" ht="5.25" customHeight="1">
      <c r="A33" s="142"/>
      <c r="B33" s="48"/>
      <c r="C33" s="9"/>
      <c r="D33" s="9"/>
      <c r="E33" s="3"/>
      <c r="F33" s="3"/>
      <c r="G33" s="3"/>
      <c r="H33" s="9"/>
      <c r="I33" s="3"/>
      <c r="J33" s="3"/>
      <c r="K33" s="3"/>
      <c r="L33" s="3"/>
      <c r="M33" s="3"/>
      <c r="N33" s="4"/>
    </row>
    <row r="34" spans="1:14" s="81" customFormat="1" ht="16.5" customHeight="1">
      <c r="A34" s="142" t="s">
        <v>488</v>
      </c>
      <c r="B34" s="255" t="s">
        <v>479</v>
      </c>
      <c r="C34" s="380">
        <f>SUM(D34:N34)</f>
        <v>12548634</v>
      </c>
      <c r="D34" s="3">
        <v>8260688</v>
      </c>
      <c r="E34" s="15">
        <v>10000</v>
      </c>
      <c r="F34" s="3">
        <v>11793</v>
      </c>
      <c r="G34" s="3">
        <v>569931</v>
      </c>
      <c r="H34" s="322" t="s">
        <v>477</v>
      </c>
      <c r="I34" s="3">
        <v>6329</v>
      </c>
      <c r="J34" s="381">
        <v>328780</v>
      </c>
      <c r="K34" s="50">
        <v>3325</v>
      </c>
      <c r="L34" s="15">
        <v>2718957</v>
      </c>
      <c r="M34" s="382">
        <v>348495</v>
      </c>
      <c r="N34" s="4">
        <v>290336</v>
      </c>
    </row>
    <row r="35" spans="1:14" s="81" customFormat="1" ht="23.25" customHeight="1">
      <c r="A35" s="142">
        <v>2007</v>
      </c>
      <c r="B35" s="255" t="s">
        <v>476</v>
      </c>
      <c r="C35" s="380">
        <f>SUM(D35:N35)</f>
        <v>12548634</v>
      </c>
      <c r="D35" s="3">
        <v>8260688</v>
      </c>
      <c r="E35" s="15">
        <v>10000</v>
      </c>
      <c r="F35" s="3">
        <v>11793</v>
      </c>
      <c r="G35" s="3">
        <v>569931</v>
      </c>
      <c r="H35" s="242" t="s">
        <v>477</v>
      </c>
      <c r="I35" s="3">
        <v>6329</v>
      </c>
      <c r="J35" s="381">
        <v>328780</v>
      </c>
      <c r="K35" s="50">
        <v>3325</v>
      </c>
      <c r="L35" s="15">
        <v>2718957</v>
      </c>
      <c r="M35" s="382">
        <v>348495</v>
      </c>
      <c r="N35" s="4">
        <v>290336</v>
      </c>
    </row>
    <row r="36" spans="1:14" s="1" customFormat="1" ht="5.25" customHeight="1">
      <c r="A36" s="142"/>
      <c r="B36" s="48"/>
      <c r="C36" s="9"/>
      <c r="D36" s="9"/>
      <c r="E36" s="3"/>
      <c r="F36" s="3"/>
      <c r="G36" s="3"/>
      <c r="H36" s="9"/>
      <c r="I36" s="3"/>
      <c r="J36" s="3"/>
      <c r="K36" s="3"/>
      <c r="L36" s="3"/>
      <c r="M36" s="3"/>
      <c r="N36" s="4"/>
    </row>
    <row r="37" spans="1:14" s="81" customFormat="1" ht="16.5" customHeight="1">
      <c r="A37" s="142" t="s">
        <v>489</v>
      </c>
      <c r="B37" s="255" t="s">
        <v>479</v>
      </c>
      <c r="C37" s="380">
        <f>SUM(D37:N37)</f>
        <v>12826819</v>
      </c>
      <c r="D37" s="3">
        <v>8647362</v>
      </c>
      <c r="E37" s="15">
        <v>5000</v>
      </c>
      <c r="F37" s="3">
        <v>13234</v>
      </c>
      <c r="G37" s="3">
        <v>593505</v>
      </c>
      <c r="H37" s="322" t="s">
        <v>477</v>
      </c>
      <c r="I37" s="3">
        <v>10530</v>
      </c>
      <c r="J37" s="381">
        <v>372521</v>
      </c>
      <c r="K37" s="240" t="s">
        <v>477</v>
      </c>
      <c r="L37" s="15">
        <v>2431587</v>
      </c>
      <c r="M37" s="382">
        <v>415401</v>
      </c>
      <c r="N37" s="4">
        <v>337679</v>
      </c>
    </row>
    <row r="38" spans="1:14" s="81" customFormat="1" ht="23.25" customHeight="1" thickBot="1">
      <c r="A38" s="63">
        <v>2008</v>
      </c>
      <c r="B38" s="256" t="s">
        <v>476</v>
      </c>
      <c r="C38" s="383">
        <f>SUM(D38:N38)</f>
        <v>12826819</v>
      </c>
      <c r="D38" s="8">
        <v>8647362</v>
      </c>
      <c r="E38" s="33">
        <v>5000</v>
      </c>
      <c r="F38" s="8">
        <v>13234</v>
      </c>
      <c r="G38" s="8">
        <v>593505</v>
      </c>
      <c r="H38" s="244" t="s">
        <v>477</v>
      </c>
      <c r="I38" s="8">
        <v>10530</v>
      </c>
      <c r="J38" s="384">
        <v>372521</v>
      </c>
      <c r="K38" s="243" t="s">
        <v>477</v>
      </c>
      <c r="L38" s="33">
        <v>2431587</v>
      </c>
      <c r="M38" s="385">
        <v>415401</v>
      </c>
      <c r="N38" s="28">
        <v>337679</v>
      </c>
    </row>
    <row r="39" spans="1:8" s="154" customFormat="1" ht="13.5" customHeight="1">
      <c r="A39" s="389" t="s">
        <v>495</v>
      </c>
      <c r="B39" s="153"/>
      <c r="C39" s="153"/>
      <c r="H39" s="155" t="s">
        <v>494</v>
      </c>
    </row>
    <row r="40" ht="12.75">
      <c r="B40" s="80"/>
    </row>
  </sheetData>
  <mergeCells count="6">
    <mergeCell ref="A13:A14"/>
    <mergeCell ref="A6:B6"/>
    <mergeCell ref="H2:N2"/>
    <mergeCell ref="H3:N3"/>
    <mergeCell ref="A2:G2"/>
    <mergeCell ref="A5:B5"/>
  </mergeCells>
  <printOptions/>
  <pageMargins left="1.1811023622047245" right="1.1811023622047245" top="1.5748031496062993" bottom="1.5748031496062993" header="0.5118110236220472" footer="0.9055118110236221"/>
  <pageSetup firstPageNumber="288" useFirstPageNumber="1" horizontalDpi="600" verticalDpi="600" orientation="portrait" paperSize="9" r:id="rId3"/>
  <headerFooter alignWithMargins="0">
    <oddFooter>&amp;C&amp;"華康中圓體,標準"&amp;11‧&amp;"Times New Roman,標準"&amp;P&amp;"華康中圓體,標準"‧</oddFooter>
  </headerFooter>
  <legacyDrawing r:id="rId2"/>
</worksheet>
</file>

<file path=xl/worksheets/sheet17.xml><?xml version="1.0" encoding="utf-8"?>
<worksheet xmlns="http://schemas.openxmlformats.org/spreadsheetml/2006/main" xmlns:r="http://schemas.openxmlformats.org/officeDocument/2006/relationships">
  <dimension ref="A1:O27"/>
  <sheetViews>
    <sheetView showGridLines="0" zoomScale="120" zoomScaleNormal="120" workbookViewId="0" topLeftCell="A1">
      <selection activeCell="A1" sqref="A1"/>
    </sheetView>
  </sheetViews>
  <sheetFormatPr defaultColWidth="9.00390625" defaultRowHeight="16.5"/>
  <cols>
    <col min="1" max="1" width="16.625" style="13" customWidth="1"/>
    <col min="2" max="3" width="10.625" style="13" customWidth="1"/>
    <col min="4" max="4" width="13.625" style="13" customWidth="1"/>
    <col min="5" max="5" width="12.875" style="13" customWidth="1"/>
    <col min="6" max="6" width="10.625" style="13" customWidth="1"/>
    <col min="7" max="7" width="11.625" style="13" customWidth="1"/>
    <col min="8" max="9" width="10.125" style="13" customWidth="1"/>
    <col min="10" max="10" width="11.625" style="13" customWidth="1"/>
    <col min="11" max="11" width="10.125" style="13" customWidth="1"/>
    <col min="12" max="12" width="10.625" style="13" customWidth="1"/>
    <col min="13" max="13" width="10.125" style="13" customWidth="1"/>
    <col min="14" max="16384" width="9.00390625" style="13" customWidth="1"/>
  </cols>
  <sheetData>
    <row r="1" spans="1:13" s="14" customFormat="1" ht="18" customHeight="1">
      <c r="A1" s="177" t="s">
        <v>615</v>
      </c>
      <c r="B1" s="26"/>
      <c r="M1" s="49" t="s">
        <v>616</v>
      </c>
    </row>
    <row r="2" spans="1:13" s="16" customFormat="1" ht="24.75" customHeight="1">
      <c r="A2" s="434" t="s">
        <v>962</v>
      </c>
      <c r="B2" s="433"/>
      <c r="C2" s="433"/>
      <c r="D2" s="433"/>
      <c r="E2" s="433"/>
      <c r="F2" s="433"/>
      <c r="G2" s="433" t="s">
        <v>963</v>
      </c>
      <c r="H2" s="433"/>
      <c r="I2" s="433"/>
      <c r="J2" s="433"/>
      <c r="K2" s="433"/>
      <c r="L2" s="433"/>
      <c r="M2" s="433"/>
    </row>
    <row r="3" spans="1:15" s="367" customFormat="1" ht="18.75" customHeight="1">
      <c r="A3" s="438" t="s">
        <v>361</v>
      </c>
      <c r="B3" s="439"/>
      <c r="C3" s="439"/>
      <c r="D3" s="439"/>
      <c r="E3" s="439"/>
      <c r="F3" s="439"/>
      <c r="G3" s="439" t="s">
        <v>947</v>
      </c>
      <c r="H3" s="439"/>
      <c r="I3" s="439"/>
      <c r="J3" s="439"/>
      <c r="K3" s="439"/>
      <c r="L3" s="439"/>
      <c r="M3" s="439"/>
      <c r="N3" s="369"/>
      <c r="O3" s="369"/>
    </row>
    <row r="4" spans="1:13" s="14" customFormat="1" ht="15" customHeight="1" thickBot="1">
      <c r="A4" s="1"/>
      <c r="B4" s="15"/>
      <c r="C4" s="15"/>
      <c r="D4" s="15"/>
      <c r="E4" s="15"/>
      <c r="F4" s="176" t="s">
        <v>802</v>
      </c>
      <c r="H4" s="15"/>
      <c r="I4" s="15"/>
      <c r="J4" s="42"/>
      <c r="K4" s="42"/>
      <c r="L4" s="24"/>
      <c r="M4" s="25" t="s">
        <v>803</v>
      </c>
    </row>
    <row r="5" spans="1:13" s="14" customFormat="1" ht="37.5" customHeight="1">
      <c r="A5" s="273" t="s">
        <v>936</v>
      </c>
      <c r="B5" s="266" t="s">
        <v>937</v>
      </c>
      <c r="C5" s="279" t="s">
        <v>938</v>
      </c>
      <c r="D5" s="248" t="s">
        <v>939</v>
      </c>
      <c r="E5" s="248" t="s">
        <v>948</v>
      </c>
      <c r="F5" s="267" t="s">
        <v>940</v>
      </c>
      <c r="G5" s="247" t="s">
        <v>941</v>
      </c>
      <c r="H5" s="248" t="s">
        <v>942</v>
      </c>
      <c r="I5" s="267" t="s">
        <v>943</v>
      </c>
      <c r="J5" s="248" t="s">
        <v>949</v>
      </c>
      <c r="K5" s="248" t="s">
        <v>950</v>
      </c>
      <c r="L5" s="248" t="s">
        <v>951</v>
      </c>
      <c r="M5" s="268" t="s">
        <v>944</v>
      </c>
    </row>
    <row r="6" spans="1:13" s="14" customFormat="1" ht="37.5" customHeight="1" thickBot="1">
      <c r="A6" s="137" t="s">
        <v>824</v>
      </c>
      <c r="B6" s="38" t="s">
        <v>794</v>
      </c>
      <c r="C6" s="39" t="s">
        <v>795</v>
      </c>
      <c r="D6" s="39" t="s">
        <v>796</v>
      </c>
      <c r="E6" s="39" t="s">
        <v>797</v>
      </c>
      <c r="F6" s="39" t="s">
        <v>798</v>
      </c>
      <c r="G6" s="12" t="s">
        <v>807</v>
      </c>
      <c r="H6" s="39" t="s">
        <v>799</v>
      </c>
      <c r="I6" s="39" t="s">
        <v>800</v>
      </c>
      <c r="J6" s="39" t="s">
        <v>781</v>
      </c>
      <c r="K6" s="39" t="s">
        <v>801</v>
      </c>
      <c r="L6" s="39" t="s">
        <v>782</v>
      </c>
      <c r="M6" s="40" t="s">
        <v>783</v>
      </c>
    </row>
    <row r="7" spans="1:14" s="81" customFormat="1" ht="36" customHeight="1">
      <c r="A7" s="37" t="s">
        <v>604</v>
      </c>
      <c r="B7" s="380">
        <f>SUM(C7:M7)</f>
        <v>11934914</v>
      </c>
      <c r="C7" s="3">
        <v>5794159</v>
      </c>
      <c r="D7" s="9">
        <v>140</v>
      </c>
      <c r="E7" s="9">
        <v>38229</v>
      </c>
      <c r="F7" s="3">
        <v>783554</v>
      </c>
      <c r="G7" s="242" t="s">
        <v>822</v>
      </c>
      <c r="H7" s="3">
        <v>2905</v>
      </c>
      <c r="I7" s="3">
        <v>361255</v>
      </c>
      <c r="J7" s="3">
        <v>10000</v>
      </c>
      <c r="K7" s="3">
        <v>4461210</v>
      </c>
      <c r="L7" s="3">
        <v>1324</v>
      </c>
      <c r="M7" s="4">
        <v>482138</v>
      </c>
      <c r="N7" s="136"/>
    </row>
    <row r="8" spans="1:14" s="81" customFormat="1" ht="10.5" customHeight="1">
      <c r="A8" s="43"/>
      <c r="B8" s="380"/>
      <c r="C8" s="3"/>
      <c r="D8" s="9"/>
      <c r="E8" s="9"/>
      <c r="F8" s="3"/>
      <c r="G8" s="9"/>
      <c r="H8" s="3"/>
      <c r="I8" s="3"/>
      <c r="J8" s="3"/>
      <c r="K8" s="3"/>
      <c r="L8" s="3"/>
      <c r="M8" s="4"/>
      <c r="N8" s="136"/>
    </row>
    <row r="9" spans="1:14" s="81" customFormat="1" ht="36" customHeight="1">
      <c r="A9" s="37" t="s">
        <v>952</v>
      </c>
      <c r="B9" s="380">
        <f>SUM(C9:M9)</f>
        <v>14636639</v>
      </c>
      <c r="C9" s="3">
        <v>6288306</v>
      </c>
      <c r="D9" s="9">
        <v>582</v>
      </c>
      <c r="E9" s="9">
        <v>31047</v>
      </c>
      <c r="F9" s="3">
        <v>814108</v>
      </c>
      <c r="G9" s="242" t="s">
        <v>953</v>
      </c>
      <c r="H9" s="3">
        <v>2999</v>
      </c>
      <c r="I9" s="3">
        <v>495458</v>
      </c>
      <c r="J9" s="3">
        <v>8177</v>
      </c>
      <c r="K9" s="3">
        <v>6395914</v>
      </c>
      <c r="L9" s="3">
        <v>2722</v>
      </c>
      <c r="M9" s="4">
        <v>597326</v>
      </c>
      <c r="N9" s="136"/>
    </row>
    <row r="10" spans="1:14" s="81" customFormat="1" ht="10.5" customHeight="1">
      <c r="A10" s="43"/>
      <c r="B10" s="380"/>
      <c r="C10" s="3"/>
      <c r="D10" s="9"/>
      <c r="E10" s="9"/>
      <c r="F10" s="3"/>
      <c r="G10" s="9"/>
      <c r="H10" s="3"/>
      <c r="I10" s="3"/>
      <c r="J10" s="3"/>
      <c r="K10" s="3"/>
      <c r="L10" s="3"/>
      <c r="M10" s="4"/>
      <c r="N10" s="136"/>
    </row>
    <row r="11" spans="1:13" s="81" customFormat="1" ht="45" customHeight="1">
      <c r="A11" s="37" t="s">
        <v>954</v>
      </c>
      <c r="B11" s="380">
        <f>SUM(C11:M11)</f>
        <v>20489057</v>
      </c>
      <c r="C11" s="3">
        <v>10251327</v>
      </c>
      <c r="D11" s="3">
        <v>6726</v>
      </c>
      <c r="E11" s="3">
        <v>45580</v>
      </c>
      <c r="F11" s="3">
        <v>1195284</v>
      </c>
      <c r="G11" s="242" t="s">
        <v>953</v>
      </c>
      <c r="H11" s="3">
        <v>14728</v>
      </c>
      <c r="I11" s="50">
        <v>769769</v>
      </c>
      <c r="J11" s="50">
        <v>45725</v>
      </c>
      <c r="K11" s="3">
        <v>7387124</v>
      </c>
      <c r="L11" s="50">
        <v>44581</v>
      </c>
      <c r="M11" s="4">
        <v>728213</v>
      </c>
    </row>
    <row r="12" spans="1:13" s="81" customFormat="1" ht="10.5" customHeight="1">
      <c r="A12" s="43"/>
      <c r="B12" s="380"/>
      <c r="C12" s="9"/>
      <c r="D12" s="9"/>
      <c r="E12" s="9"/>
      <c r="F12" s="3"/>
      <c r="G12" s="9"/>
      <c r="H12" s="3"/>
      <c r="I12" s="50"/>
      <c r="J12" s="50"/>
      <c r="K12" s="3"/>
      <c r="L12" s="50"/>
      <c r="M12" s="4"/>
    </row>
    <row r="13" spans="1:14" s="81" customFormat="1" ht="36" customHeight="1">
      <c r="A13" s="37" t="s">
        <v>955</v>
      </c>
      <c r="B13" s="380">
        <f>SUM(C13:M13)</f>
        <v>14220376</v>
      </c>
      <c r="C13" s="9">
        <v>7549933</v>
      </c>
      <c r="D13" s="9">
        <v>3629</v>
      </c>
      <c r="E13" s="9">
        <v>18751</v>
      </c>
      <c r="F13" s="3">
        <f>701642-500730</f>
        <v>200912</v>
      </c>
      <c r="G13" s="9">
        <v>500730</v>
      </c>
      <c r="H13" s="3">
        <v>18662</v>
      </c>
      <c r="I13" s="3">
        <v>659885</v>
      </c>
      <c r="J13" s="3">
        <v>133648</v>
      </c>
      <c r="K13" s="3">
        <v>4219044</v>
      </c>
      <c r="L13" s="3">
        <v>81161</v>
      </c>
      <c r="M13" s="4">
        <v>834021</v>
      </c>
      <c r="N13" s="136"/>
    </row>
    <row r="14" spans="1:14" s="81" customFormat="1" ht="10.5" customHeight="1">
      <c r="A14" s="43"/>
      <c r="B14" s="380"/>
      <c r="C14" s="9"/>
      <c r="D14" s="9"/>
      <c r="E14" s="9"/>
      <c r="F14" s="3"/>
      <c r="G14" s="9"/>
      <c r="H14" s="3"/>
      <c r="I14" s="3"/>
      <c r="J14" s="3"/>
      <c r="K14" s="3"/>
      <c r="L14" s="3"/>
      <c r="M14" s="4"/>
      <c r="N14" s="136"/>
    </row>
    <row r="15" spans="1:14" s="81" customFormat="1" ht="36" customHeight="1">
      <c r="A15" s="37" t="s">
        <v>956</v>
      </c>
      <c r="B15" s="380">
        <f>SUM(C15:M15)</f>
        <v>13279716.95482</v>
      </c>
      <c r="C15" s="9">
        <v>7398158.267</v>
      </c>
      <c r="D15" s="9">
        <v>3616.911</v>
      </c>
      <c r="E15" s="9">
        <v>22603.329</v>
      </c>
      <c r="F15" s="3">
        <f>(588249950-377535522)/1000</f>
        <v>210714.428</v>
      </c>
      <c r="G15" s="9">
        <v>377535.522</v>
      </c>
      <c r="H15" s="3">
        <v>22171.009</v>
      </c>
      <c r="I15" s="3">
        <v>237412.08734</v>
      </c>
      <c r="J15" s="3">
        <v>15129</v>
      </c>
      <c r="K15" s="3">
        <v>4262019.78</v>
      </c>
      <c r="L15" s="3">
        <v>90934.337</v>
      </c>
      <c r="M15" s="4">
        <v>639422.28448</v>
      </c>
      <c r="N15" s="136"/>
    </row>
    <row r="16" spans="1:14" s="81" customFormat="1" ht="10.5" customHeight="1">
      <c r="A16" s="43"/>
      <c r="B16" s="380"/>
      <c r="C16" s="9"/>
      <c r="D16" s="9"/>
      <c r="E16" s="9"/>
      <c r="F16" s="3"/>
      <c r="G16" s="9"/>
      <c r="H16" s="3"/>
      <c r="I16" s="3"/>
      <c r="J16" s="3"/>
      <c r="K16" s="3"/>
      <c r="L16" s="3"/>
      <c r="M16" s="4"/>
      <c r="N16" s="136"/>
    </row>
    <row r="17" spans="1:14" s="81" customFormat="1" ht="36" customHeight="1">
      <c r="A17" s="37" t="s">
        <v>957</v>
      </c>
      <c r="B17" s="380">
        <f>SUM(C17:M17)</f>
        <v>13128714.9735</v>
      </c>
      <c r="C17" s="9">
        <v>7647722.78</v>
      </c>
      <c r="D17" s="9">
        <v>7048.106</v>
      </c>
      <c r="E17" s="9">
        <v>19965.693</v>
      </c>
      <c r="F17" s="3">
        <v>225663.269</v>
      </c>
      <c r="G17" s="9">
        <v>333957.758</v>
      </c>
      <c r="H17" s="3">
        <v>15122.691</v>
      </c>
      <c r="I17" s="3">
        <v>270694.3665</v>
      </c>
      <c r="J17" s="3">
        <v>16000</v>
      </c>
      <c r="K17" s="3">
        <v>3709041.741</v>
      </c>
      <c r="L17" s="3">
        <v>292404.795</v>
      </c>
      <c r="M17" s="4">
        <v>591093.774</v>
      </c>
      <c r="N17" s="136"/>
    </row>
    <row r="18" spans="1:14" s="81" customFormat="1" ht="10.5" customHeight="1">
      <c r="A18" s="37"/>
      <c r="B18" s="380"/>
      <c r="C18" s="9"/>
      <c r="D18" s="9"/>
      <c r="E18" s="9"/>
      <c r="F18" s="3"/>
      <c r="G18" s="9"/>
      <c r="H18" s="3"/>
      <c r="I18" s="3"/>
      <c r="J18" s="3"/>
      <c r="K18" s="3"/>
      <c r="L18" s="3"/>
      <c r="M18" s="4"/>
      <c r="N18" s="136"/>
    </row>
    <row r="19" spans="1:14" s="81" customFormat="1" ht="36" customHeight="1">
      <c r="A19" s="37" t="s">
        <v>958</v>
      </c>
      <c r="B19" s="380">
        <f>SUM(C19:M19)</f>
        <v>14921603.532</v>
      </c>
      <c r="C19" s="9">
        <v>8703365.193</v>
      </c>
      <c r="D19" s="9">
        <v>6818.32</v>
      </c>
      <c r="E19" s="9">
        <v>25937.993</v>
      </c>
      <c r="F19" s="3">
        <v>249443.02199999997</v>
      </c>
      <c r="G19" s="9">
        <v>322578.051</v>
      </c>
      <c r="H19" s="3">
        <v>5993.046</v>
      </c>
      <c r="I19" s="3">
        <v>128027.514</v>
      </c>
      <c r="J19" s="3">
        <v>43677</v>
      </c>
      <c r="K19" s="3">
        <v>4673830.365</v>
      </c>
      <c r="L19" s="3">
        <v>248759.647</v>
      </c>
      <c r="M19" s="4">
        <v>513173.381</v>
      </c>
      <c r="N19" s="136"/>
    </row>
    <row r="20" spans="1:14" s="81" customFormat="1" ht="10.5" customHeight="1">
      <c r="A20" s="43"/>
      <c r="B20" s="380"/>
      <c r="C20" s="9"/>
      <c r="D20" s="9"/>
      <c r="E20" s="9"/>
      <c r="F20" s="3"/>
      <c r="G20" s="9"/>
      <c r="H20" s="3"/>
      <c r="I20" s="3"/>
      <c r="J20" s="3"/>
      <c r="K20" s="3"/>
      <c r="L20" s="3"/>
      <c r="M20" s="4"/>
      <c r="N20" s="136"/>
    </row>
    <row r="21" spans="1:13" s="81" customFormat="1" ht="36" customHeight="1">
      <c r="A21" s="37" t="s">
        <v>959</v>
      </c>
      <c r="B21" s="380">
        <f>SUM(C21:M21)</f>
        <v>14358030.3521</v>
      </c>
      <c r="C21" s="3">
        <v>8916681.858</v>
      </c>
      <c r="D21" s="3">
        <v>26706.461</v>
      </c>
      <c r="E21" s="3">
        <v>29016.58</v>
      </c>
      <c r="F21" s="3">
        <f>547104.291-G21</f>
        <v>481726.561</v>
      </c>
      <c r="G21" s="9">
        <v>65377.73</v>
      </c>
      <c r="H21" s="3">
        <v>6382.098</v>
      </c>
      <c r="I21" s="50">
        <v>662229.9922</v>
      </c>
      <c r="J21" s="50">
        <v>9400</v>
      </c>
      <c r="K21" s="3">
        <v>3174668.672</v>
      </c>
      <c r="L21" s="50">
        <v>394903.262</v>
      </c>
      <c r="M21" s="4">
        <v>590937.1379</v>
      </c>
    </row>
    <row r="22" spans="1:14" s="81" customFormat="1" ht="10.5" customHeight="1">
      <c r="A22" s="43"/>
      <c r="B22" s="380"/>
      <c r="C22" s="9"/>
      <c r="D22" s="9"/>
      <c r="E22" s="9"/>
      <c r="F22" s="3"/>
      <c r="G22" s="9"/>
      <c r="H22" s="3"/>
      <c r="I22" s="3"/>
      <c r="J22" s="3"/>
      <c r="K22" s="3"/>
      <c r="L22" s="3"/>
      <c r="M22" s="4"/>
      <c r="N22" s="136"/>
    </row>
    <row r="23" spans="1:13" s="81" customFormat="1" ht="36" customHeight="1">
      <c r="A23" s="37" t="s">
        <v>960</v>
      </c>
      <c r="B23" s="380">
        <f>SUM(C23:M23)</f>
        <v>14345154</v>
      </c>
      <c r="C23" s="3">
        <v>9339994</v>
      </c>
      <c r="D23" s="3">
        <v>40820</v>
      </c>
      <c r="E23" s="3">
        <v>39850</v>
      </c>
      <c r="F23" s="3">
        <v>539557</v>
      </c>
      <c r="G23" s="242" t="s">
        <v>953</v>
      </c>
      <c r="H23" s="3">
        <v>6560</v>
      </c>
      <c r="I23" s="50">
        <v>326421</v>
      </c>
      <c r="J23" s="50">
        <v>3000</v>
      </c>
      <c r="K23" s="3">
        <v>2982040</v>
      </c>
      <c r="L23" s="50">
        <v>321712</v>
      </c>
      <c r="M23" s="4">
        <v>745200</v>
      </c>
    </row>
    <row r="24" spans="1:14" s="81" customFormat="1" ht="10.5" customHeight="1">
      <c r="A24" s="43"/>
      <c r="B24" s="380"/>
      <c r="C24" s="9"/>
      <c r="D24" s="9"/>
      <c r="E24" s="9"/>
      <c r="F24" s="3"/>
      <c r="G24" s="9"/>
      <c r="H24" s="3"/>
      <c r="I24" s="3"/>
      <c r="J24" s="3"/>
      <c r="K24" s="3"/>
      <c r="L24" s="3"/>
      <c r="M24" s="4"/>
      <c r="N24" s="136"/>
    </row>
    <row r="25" spans="1:13" s="81" customFormat="1" ht="36" customHeight="1" thickBot="1">
      <c r="A25" s="46" t="s">
        <v>961</v>
      </c>
      <c r="B25" s="383">
        <f>SUM(C25:M25)</f>
        <v>14247645</v>
      </c>
      <c r="C25" s="8">
        <v>9652022</v>
      </c>
      <c r="D25" s="8">
        <v>11895</v>
      </c>
      <c r="E25" s="8">
        <v>46135</v>
      </c>
      <c r="F25" s="8">
        <v>639250</v>
      </c>
      <c r="G25" s="244" t="s">
        <v>953</v>
      </c>
      <c r="H25" s="8">
        <v>7493</v>
      </c>
      <c r="I25" s="76">
        <v>348441</v>
      </c>
      <c r="J25" s="76">
        <v>3325</v>
      </c>
      <c r="K25" s="8">
        <v>2705191</v>
      </c>
      <c r="L25" s="76">
        <v>404549</v>
      </c>
      <c r="M25" s="28">
        <v>429344</v>
      </c>
    </row>
    <row r="26" spans="1:7" s="24" customFormat="1" ht="15" customHeight="1">
      <c r="A26" s="269" t="s">
        <v>48</v>
      </c>
      <c r="B26" s="75"/>
      <c r="G26" s="5" t="s">
        <v>49</v>
      </c>
    </row>
    <row r="27" spans="1:7" s="140" customFormat="1" ht="15" customHeight="1">
      <c r="A27" s="269" t="s">
        <v>619</v>
      </c>
      <c r="G27" s="26" t="s">
        <v>620</v>
      </c>
    </row>
  </sheetData>
  <mergeCells count="4">
    <mergeCell ref="G2:M2"/>
    <mergeCell ref="A3:F3"/>
    <mergeCell ref="A2:F2"/>
    <mergeCell ref="G3:M3"/>
  </mergeCells>
  <printOptions/>
  <pageMargins left="1.1811023622047245" right="1.1811023622047245" top="1.5748031496062993" bottom="1.5748031496062993" header="0.5118110236220472" footer="0.9055118110236221"/>
  <pageSetup firstPageNumber="290" useFirstPageNumber="1" horizontalDpi="600" verticalDpi="600" orientation="portrait" paperSize="9" r:id="rId3"/>
  <headerFooter alignWithMargins="0">
    <oddFooter>&amp;C&amp;"華康中圓體,標準"&amp;11‧&amp;"Times New Roman,標準"&amp;P&amp;"華康中圓體,標準"‧</oddFooter>
  </headerFooter>
  <legacyDrawing r:id="rId2"/>
</worksheet>
</file>

<file path=xl/worksheets/sheet18.xml><?xml version="1.0" encoding="utf-8"?>
<worksheet xmlns="http://schemas.openxmlformats.org/spreadsheetml/2006/main" xmlns:r="http://schemas.openxmlformats.org/officeDocument/2006/relationships">
  <sheetPr>
    <tabColor indexed="17"/>
  </sheetPr>
  <dimension ref="A1:P39"/>
  <sheetViews>
    <sheetView showGridLines="0" zoomScale="120" zoomScaleNormal="120" workbookViewId="0" topLeftCell="A1">
      <selection activeCell="A1" sqref="A1"/>
    </sheetView>
  </sheetViews>
  <sheetFormatPr defaultColWidth="9.00390625" defaultRowHeight="16.5"/>
  <cols>
    <col min="1" max="1" width="11.125" style="13" customWidth="1"/>
    <col min="2" max="2" width="13.625" style="13" customWidth="1"/>
    <col min="3" max="3" width="8.125" style="13" customWidth="1"/>
    <col min="4" max="4" width="9.125" style="13" customWidth="1"/>
    <col min="5" max="5" width="8.375" style="13" customWidth="1"/>
    <col min="6" max="7" width="8.125" style="13" customWidth="1"/>
    <col min="8" max="8" width="8.375" style="13" customWidth="1"/>
    <col min="9" max="9" width="8.625" style="13" customWidth="1"/>
    <col min="10" max="12" width="9.375" style="13" customWidth="1"/>
    <col min="13" max="13" width="10.125" style="13" customWidth="1"/>
    <col min="14" max="16" width="9.375" style="13" customWidth="1"/>
    <col min="17" max="16384" width="9.00390625" style="13" customWidth="1"/>
  </cols>
  <sheetData>
    <row r="1" spans="1:16" s="14" customFormat="1" ht="18" customHeight="1">
      <c r="A1" s="177" t="s">
        <v>615</v>
      </c>
      <c r="B1" s="26"/>
      <c r="C1" s="26"/>
      <c r="P1" s="49" t="s">
        <v>616</v>
      </c>
    </row>
    <row r="2" spans="1:16" s="16" customFormat="1" ht="24.75" customHeight="1">
      <c r="A2" s="434" t="s">
        <v>785</v>
      </c>
      <c r="B2" s="433"/>
      <c r="C2" s="433"/>
      <c r="D2" s="433"/>
      <c r="E2" s="433"/>
      <c r="F2" s="433"/>
      <c r="G2" s="433"/>
      <c r="H2" s="433"/>
      <c r="I2" s="433" t="s">
        <v>786</v>
      </c>
      <c r="J2" s="433"/>
      <c r="K2" s="433"/>
      <c r="L2" s="433"/>
      <c r="M2" s="433"/>
      <c r="N2" s="433"/>
      <c r="O2" s="433"/>
      <c r="P2" s="433"/>
    </row>
    <row r="3" spans="1:16" s="367" customFormat="1" ht="18.75" customHeight="1">
      <c r="A3" s="438" t="s">
        <v>821</v>
      </c>
      <c r="B3" s="439"/>
      <c r="C3" s="439"/>
      <c r="D3" s="439"/>
      <c r="E3" s="439"/>
      <c r="F3" s="439"/>
      <c r="G3" s="439"/>
      <c r="H3" s="439"/>
      <c r="I3" s="439" t="s">
        <v>820</v>
      </c>
      <c r="J3" s="439"/>
      <c r="K3" s="439"/>
      <c r="L3" s="439"/>
      <c r="M3" s="439"/>
      <c r="N3" s="439"/>
      <c r="O3" s="439"/>
      <c r="P3" s="439"/>
    </row>
    <row r="4" spans="1:16" s="52" customFormat="1" ht="15" customHeight="1" thickBot="1">
      <c r="A4" s="149"/>
      <c r="B4" s="149"/>
      <c r="C4" s="55"/>
      <c r="D4" s="55"/>
      <c r="E4" s="55"/>
      <c r="F4" s="55"/>
      <c r="G4" s="55"/>
      <c r="H4" s="214" t="s">
        <v>802</v>
      </c>
      <c r="I4" s="55"/>
      <c r="J4" s="55"/>
      <c r="K4" s="55"/>
      <c r="M4" s="150"/>
      <c r="N4" s="150"/>
      <c r="O4" s="150"/>
      <c r="P4" s="63" t="s">
        <v>803</v>
      </c>
    </row>
    <row r="5" spans="1:16" s="52" customFormat="1" ht="27" customHeight="1">
      <c r="A5" s="445" t="s">
        <v>804</v>
      </c>
      <c r="B5" s="446"/>
      <c r="C5" s="270" t="s">
        <v>593</v>
      </c>
      <c r="D5" s="219" t="s">
        <v>634</v>
      </c>
      <c r="E5" s="220" t="s">
        <v>635</v>
      </c>
      <c r="F5" s="220" t="s">
        <v>636</v>
      </c>
      <c r="G5" s="220" t="s">
        <v>637</v>
      </c>
      <c r="H5" s="271" t="s">
        <v>638</v>
      </c>
      <c r="I5" s="219" t="s">
        <v>639</v>
      </c>
      <c r="J5" s="271" t="s">
        <v>640</v>
      </c>
      <c r="K5" s="220" t="s">
        <v>641</v>
      </c>
      <c r="L5" s="220" t="s">
        <v>642</v>
      </c>
      <c r="M5" s="220" t="s">
        <v>643</v>
      </c>
      <c r="N5" s="220" t="s">
        <v>644</v>
      </c>
      <c r="O5" s="220" t="s">
        <v>645</v>
      </c>
      <c r="P5" s="221" t="s">
        <v>646</v>
      </c>
    </row>
    <row r="6" spans="1:16" s="56" customFormat="1" ht="39.75" customHeight="1" thickBot="1">
      <c r="A6" s="444" t="s">
        <v>736</v>
      </c>
      <c r="B6" s="431"/>
      <c r="C6" s="57" t="s">
        <v>566</v>
      </c>
      <c r="D6" s="57" t="s">
        <v>647</v>
      </c>
      <c r="E6" s="58" t="s">
        <v>648</v>
      </c>
      <c r="F6" s="58" t="s">
        <v>649</v>
      </c>
      <c r="G6" s="58" t="s">
        <v>650</v>
      </c>
      <c r="H6" s="58" t="s">
        <v>651</v>
      </c>
      <c r="I6" s="57" t="s">
        <v>652</v>
      </c>
      <c r="J6" s="58" t="s">
        <v>653</v>
      </c>
      <c r="K6" s="58" t="s">
        <v>654</v>
      </c>
      <c r="L6" s="58" t="s">
        <v>655</v>
      </c>
      <c r="M6" s="58" t="s">
        <v>656</v>
      </c>
      <c r="N6" s="58" t="s">
        <v>657</v>
      </c>
      <c r="O6" s="58" t="s">
        <v>658</v>
      </c>
      <c r="P6" s="59" t="s">
        <v>659</v>
      </c>
    </row>
    <row r="7" spans="1:16" s="24" customFormat="1" ht="16.5" customHeight="1">
      <c r="A7" s="142" t="s">
        <v>660</v>
      </c>
      <c r="B7" s="255" t="s">
        <v>578</v>
      </c>
      <c r="C7" s="2">
        <v>13939041</v>
      </c>
      <c r="D7" s="3">
        <v>203256</v>
      </c>
      <c r="E7" s="3">
        <v>1153128</v>
      </c>
      <c r="F7" s="3">
        <v>740624</v>
      </c>
      <c r="G7" s="3">
        <v>95591</v>
      </c>
      <c r="H7" s="3">
        <v>483356</v>
      </c>
      <c r="I7" s="242" t="s">
        <v>579</v>
      </c>
      <c r="J7" s="3">
        <v>75804</v>
      </c>
      <c r="K7" s="3">
        <v>674059</v>
      </c>
      <c r="L7" s="3">
        <v>309196</v>
      </c>
      <c r="M7" s="3">
        <v>4060243</v>
      </c>
      <c r="N7" s="3">
        <v>608179</v>
      </c>
      <c r="O7" s="3">
        <v>265327</v>
      </c>
      <c r="P7" s="4">
        <v>296177</v>
      </c>
    </row>
    <row r="8" spans="1:16" s="24" customFormat="1" ht="23.25" customHeight="1">
      <c r="A8" s="142">
        <v>1998</v>
      </c>
      <c r="B8" s="255" t="s">
        <v>476</v>
      </c>
      <c r="C8" s="2">
        <v>14994026</v>
      </c>
      <c r="D8" s="50">
        <v>227060</v>
      </c>
      <c r="E8" s="50">
        <v>1173214</v>
      </c>
      <c r="F8" s="50">
        <v>840319</v>
      </c>
      <c r="G8" s="50">
        <v>101868</v>
      </c>
      <c r="H8" s="3">
        <v>537674</v>
      </c>
      <c r="I8" s="242" t="s">
        <v>477</v>
      </c>
      <c r="J8" s="3">
        <v>90234</v>
      </c>
      <c r="K8" s="3">
        <v>564343</v>
      </c>
      <c r="L8" s="3">
        <v>335680</v>
      </c>
      <c r="M8" s="3">
        <v>3904401</v>
      </c>
      <c r="N8" s="3">
        <v>673362</v>
      </c>
      <c r="O8" s="3">
        <v>233927</v>
      </c>
      <c r="P8" s="4">
        <v>346127</v>
      </c>
    </row>
    <row r="9" spans="1:16" s="14" customFormat="1" ht="4.5" customHeight="1">
      <c r="A9" s="142"/>
      <c r="B9" s="48"/>
      <c r="C9" s="2"/>
      <c r="D9" s="50"/>
      <c r="E9" s="50"/>
      <c r="F9" s="50"/>
      <c r="G9" s="50"/>
      <c r="H9" s="3"/>
      <c r="I9" s="156"/>
      <c r="J9" s="3"/>
      <c r="K9" s="3"/>
      <c r="L9" s="3"/>
      <c r="M9" s="3"/>
      <c r="N9" s="3"/>
      <c r="O9" s="3"/>
      <c r="P9" s="4"/>
    </row>
    <row r="10" spans="1:16" s="24" customFormat="1" ht="16.5" customHeight="1">
      <c r="A10" s="142" t="s">
        <v>478</v>
      </c>
      <c r="B10" s="255" t="s">
        <v>479</v>
      </c>
      <c r="C10" s="2">
        <v>14730929</v>
      </c>
      <c r="D10" s="3">
        <v>245610</v>
      </c>
      <c r="E10" s="3">
        <v>1241539</v>
      </c>
      <c r="F10" s="3">
        <v>883947</v>
      </c>
      <c r="G10" s="3">
        <v>87793</v>
      </c>
      <c r="H10" s="3">
        <v>408829</v>
      </c>
      <c r="I10" s="242" t="s">
        <v>477</v>
      </c>
      <c r="J10" s="3">
        <v>95330</v>
      </c>
      <c r="K10" s="3">
        <v>982974</v>
      </c>
      <c r="L10" s="3">
        <v>454929</v>
      </c>
      <c r="M10" s="3">
        <v>3221860</v>
      </c>
      <c r="N10" s="3">
        <v>367970</v>
      </c>
      <c r="O10" s="3">
        <v>6457</v>
      </c>
      <c r="P10" s="4">
        <v>550088</v>
      </c>
    </row>
    <row r="11" spans="1:16" s="24" customFormat="1" ht="23.25" customHeight="1">
      <c r="A11" s="142">
        <v>1999</v>
      </c>
      <c r="B11" s="255" t="s">
        <v>476</v>
      </c>
      <c r="C11" s="2">
        <v>17547558</v>
      </c>
      <c r="D11" s="3">
        <v>253544</v>
      </c>
      <c r="E11" s="3">
        <v>1317341</v>
      </c>
      <c r="F11" s="3">
        <v>965853</v>
      </c>
      <c r="G11" s="3">
        <v>89770</v>
      </c>
      <c r="H11" s="3">
        <v>486706</v>
      </c>
      <c r="I11" s="242" t="s">
        <v>477</v>
      </c>
      <c r="J11" s="3">
        <v>130772</v>
      </c>
      <c r="K11" s="3">
        <v>899452</v>
      </c>
      <c r="L11" s="3">
        <v>501851</v>
      </c>
      <c r="M11" s="3">
        <v>4487923</v>
      </c>
      <c r="N11" s="3">
        <v>541717</v>
      </c>
      <c r="O11" s="3">
        <v>249556</v>
      </c>
      <c r="P11" s="4">
        <v>922696</v>
      </c>
    </row>
    <row r="12" spans="1:16" s="14" customFormat="1" ht="4.5" customHeight="1">
      <c r="A12" s="142"/>
      <c r="B12" s="48"/>
      <c r="C12" s="2"/>
      <c r="D12" s="3"/>
      <c r="E12" s="3"/>
      <c r="F12" s="3"/>
      <c r="G12" s="3"/>
      <c r="H12" s="3"/>
      <c r="I12" s="156"/>
      <c r="J12" s="3"/>
      <c r="K12" s="3"/>
      <c r="L12" s="3"/>
      <c r="M12" s="3"/>
      <c r="N12" s="3"/>
      <c r="O12" s="3"/>
      <c r="P12" s="4"/>
    </row>
    <row r="13" spans="1:16" s="24" customFormat="1" ht="16.5" customHeight="1">
      <c r="A13" s="447" t="s">
        <v>50</v>
      </c>
      <c r="B13" s="255" t="s">
        <v>479</v>
      </c>
      <c r="C13" s="2">
        <v>22170006</v>
      </c>
      <c r="D13" s="3">
        <v>428192</v>
      </c>
      <c r="E13" s="3">
        <v>1907342</v>
      </c>
      <c r="F13" s="3">
        <v>1182937</v>
      </c>
      <c r="G13" s="3">
        <v>124171</v>
      </c>
      <c r="H13" s="3">
        <v>630814</v>
      </c>
      <c r="I13" s="242" t="s">
        <v>477</v>
      </c>
      <c r="J13" s="3">
        <v>135911</v>
      </c>
      <c r="K13" s="3">
        <v>913831</v>
      </c>
      <c r="L13" s="3">
        <v>487895</v>
      </c>
      <c r="M13" s="3">
        <v>5192095</v>
      </c>
      <c r="N13" s="3">
        <v>951013</v>
      </c>
      <c r="O13" s="3">
        <v>2744</v>
      </c>
      <c r="P13" s="4">
        <v>1390530</v>
      </c>
    </row>
    <row r="14" spans="1:16" s="24" customFormat="1" ht="23.25" customHeight="1">
      <c r="A14" s="447"/>
      <c r="B14" s="255" t="s">
        <v>476</v>
      </c>
      <c r="C14" s="2">
        <v>26312296</v>
      </c>
      <c r="D14" s="3">
        <v>482175</v>
      </c>
      <c r="E14" s="3">
        <v>1964327</v>
      </c>
      <c r="F14" s="3">
        <v>1282607</v>
      </c>
      <c r="G14" s="3">
        <v>124411</v>
      </c>
      <c r="H14" s="3">
        <v>785433</v>
      </c>
      <c r="I14" s="242" t="s">
        <v>477</v>
      </c>
      <c r="J14" s="3">
        <v>142362</v>
      </c>
      <c r="K14" s="3">
        <v>995336</v>
      </c>
      <c r="L14" s="3">
        <v>525459</v>
      </c>
      <c r="M14" s="3">
        <v>7637969</v>
      </c>
      <c r="N14" s="3">
        <v>1213297</v>
      </c>
      <c r="O14" s="3">
        <v>27567</v>
      </c>
      <c r="P14" s="4">
        <v>1338518</v>
      </c>
    </row>
    <row r="15" spans="1:16" s="14" customFormat="1" ht="4.5" customHeight="1">
      <c r="A15" s="142"/>
      <c r="B15" s="48"/>
      <c r="C15" s="2"/>
      <c r="D15" s="3"/>
      <c r="E15" s="3"/>
      <c r="F15" s="3"/>
      <c r="G15" s="3"/>
      <c r="H15" s="3"/>
      <c r="I15" s="156"/>
      <c r="J15" s="3"/>
      <c r="K15" s="3"/>
      <c r="L15" s="3"/>
      <c r="M15" s="3"/>
      <c r="N15" s="3"/>
      <c r="O15" s="3"/>
      <c r="P15" s="4"/>
    </row>
    <row r="16" spans="1:16" s="24" customFormat="1" ht="16.5" customHeight="1">
      <c r="A16" s="142" t="s">
        <v>482</v>
      </c>
      <c r="B16" s="255" t="s">
        <v>479</v>
      </c>
      <c r="C16" s="2">
        <v>17180131</v>
      </c>
      <c r="D16" s="3">
        <v>385860</v>
      </c>
      <c r="E16" s="3">
        <v>1446791</v>
      </c>
      <c r="F16" s="3">
        <v>899624</v>
      </c>
      <c r="G16" s="3">
        <v>85097</v>
      </c>
      <c r="H16" s="3">
        <v>564875</v>
      </c>
      <c r="I16" s="242" t="s">
        <v>477</v>
      </c>
      <c r="J16" s="3">
        <v>107015</v>
      </c>
      <c r="K16" s="3">
        <v>960282</v>
      </c>
      <c r="L16" s="3">
        <v>359939</v>
      </c>
      <c r="M16" s="3">
        <v>3549871</v>
      </c>
      <c r="N16" s="3">
        <v>940697</v>
      </c>
      <c r="O16" s="3">
        <v>3414</v>
      </c>
      <c r="P16" s="4">
        <v>970551</v>
      </c>
    </row>
    <row r="17" spans="1:16" s="24" customFormat="1" ht="23.25" customHeight="1">
      <c r="A17" s="142">
        <v>2001</v>
      </c>
      <c r="B17" s="255" t="s">
        <v>476</v>
      </c>
      <c r="C17" s="2">
        <v>19530064</v>
      </c>
      <c r="D17" s="3">
        <v>389893</v>
      </c>
      <c r="E17" s="3">
        <v>1475874</v>
      </c>
      <c r="F17" s="3">
        <v>1001585</v>
      </c>
      <c r="G17" s="3">
        <v>95125</v>
      </c>
      <c r="H17" s="3">
        <v>692107</v>
      </c>
      <c r="I17" s="242" t="s">
        <v>477</v>
      </c>
      <c r="J17" s="3">
        <v>119864</v>
      </c>
      <c r="K17" s="3">
        <v>1201983</v>
      </c>
      <c r="L17" s="3">
        <v>396364</v>
      </c>
      <c r="M17" s="3">
        <v>5001704</v>
      </c>
      <c r="N17" s="3">
        <v>1257850</v>
      </c>
      <c r="O17" s="3">
        <v>3414</v>
      </c>
      <c r="P17" s="4">
        <v>958075</v>
      </c>
    </row>
    <row r="18" spans="1:16" s="14" customFormat="1" ht="4.5" customHeight="1">
      <c r="A18" s="142"/>
      <c r="B18" s="48"/>
      <c r="C18" s="2"/>
      <c r="D18" s="3"/>
      <c r="E18" s="3"/>
      <c r="F18" s="3"/>
      <c r="G18" s="3"/>
      <c r="H18" s="3"/>
      <c r="I18" s="156"/>
      <c r="J18" s="3"/>
      <c r="K18" s="3"/>
      <c r="L18" s="3"/>
      <c r="M18" s="3"/>
      <c r="N18" s="3"/>
      <c r="O18" s="3"/>
      <c r="P18" s="4"/>
    </row>
    <row r="19" spans="1:16" s="24" customFormat="1" ht="16.5" customHeight="1">
      <c r="A19" s="142" t="s">
        <v>483</v>
      </c>
      <c r="B19" s="255" t="s">
        <v>479</v>
      </c>
      <c r="C19" s="2">
        <v>14161093</v>
      </c>
      <c r="D19" s="3">
        <v>362085</v>
      </c>
      <c r="E19" s="3">
        <v>1357410</v>
      </c>
      <c r="F19" s="3">
        <v>1157900</v>
      </c>
      <c r="G19" s="3">
        <v>83503</v>
      </c>
      <c r="H19" s="3">
        <v>387425</v>
      </c>
      <c r="I19" s="242" t="s">
        <v>477</v>
      </c>
      <c r="J19" s="3">
        <v>100738</v>
      </c>
      <c r="K19" s="3">
        <v>557368</v>
      </c>
      <c r="L19" s="3">
        <v>421197</v>
      </c>
      <c r="M19" s="3">
        <v>3292231</v>
      </c>
      <c r="N19" s="3">
        <v>578872</v>
      </c>
      <c r="O19" s="3">
        <v>1825</v>
      </c>
      <c r="P19" s="4">
        <v>759480</v>
      </c>
    </row>
    <row r="20" spans="1:16" s="24" customFormat="1" ht="23.25" customHeight="1">
      <c r="A20" s="142">
        <v>2002</v>
      </c>
      <c r="B20" s="255" t="s">
        <v>476</v>
      </c>
      <c r="C20" s="2">
        <v>17168185</v>
      </c>
      <c r="D20" s="3">
        <v>375272</v>
      </c>
      <c r="E20" s="3">
        <v>1425082</v>
      </c>
      <c r="F20" s="3">
        <v>1170019</v>
      </c>
      <c r="G20" s="3">
        <v>87971</v>
      </c>
      <c r="H20" s="3">
        <v>552184</v>
      </c>
      <c r="I20" s="242" t="s">
        <v>477</v>
      </c>
      <c r="J20" s="3">
        <v>123869</v>
      </c>
      <c r="K20" s="3">
        <v>736348</v>
      </c>
      <c r="L20" s="3">
        <v>429343</v>
      </c>
      <c r="M20" s="3">
        <v>5132916</v>
      </c>
      <c r="N20" s="3">
        <v>873927</v>
      </c>
      <c r="O20" s="3">
        <v>1825</v>
      </c>
      <c r="P20" s="4">
        <v>745645</v>
      </c>
    </row>
    <row r="21" spans="1:16" s="14" customFormat="1" ht="4.5" customHeight="1">
      <c r="A21" s="142"/>
      <c r="B21" s="48"/>
      <c r="C21" s="2"/>
      <c r="D21" s="3"/>
      <c r="E21" s="3"/>
      <c r="F21" s="3"/>
      <c r="G21" s="3"/>
      <c r="H21" s="3"/>
      <c r="I21" s="156"/>
      <c r="J21" s="3"/>
      <c r="K21" s="3"/>
      <c r="L21" s="3"/>
      <c r="M21" s="3"/>
      <c r="N21" s="3"/>
      <c r="O21" s="3"/>
      <c r="P21" s="4"/>
    </row>
    <row r="22" spans="1:16" s="24" customFormat="1" ht="16.5" customHeight="1">
      <c r="A22" s="142" t="s">
        <v>484</v>
      </c>
      <c r="B22" s="255" t="s">
        <v>479</v>
      </c>
      <c r="C22" s="2">
        <v>14074107</v>
      </c>
      <c r="D22" s="3">
        <v>474104</v>
      </c>
      <c r="E22" s="3">
        <v>1442637</v>
      </c>
      <c r="F22" s="3">
        <v>873560</v>
      </c>
      <c r="G22" s="3">
        <v>78696</v>
      </c>
      <c r="H22" s="3">
        <v>475946</v>
      </c>
      <c r="I22" s="242" t="s">
        <v>477</v>
      </c>
      <c r="J22" s="3">
        <v>110531</v>
      </c>
      <c r="K22" s="3">
        <v>596394</v>
      </c>
      <c r="L22" s="3">
        <v>382828</v>
      </c>
      <c r="M22" s="3">
        <v>3101375</v>
      </c>
      <c r="N22" s="3">
        <v>605349</v>
      </c>
      <c r="O22" s="3">
        <v>1273</v>
      </c>
      <c r="P22" s="4">
        <v>572182</v>
      </c>
    </row>
    <row r="23" spans="1:16" s="24" customFormat="1" ht="23.25" customHeight="1">
      <c r="A23" s="142">
        <v>2003</v>
      </c>
      <c r="B23" s="255" t="s">
        <v>476</v>
      </c>
      <c r="C23" s="2">
        <v>14761905</v>
      </c>
      <c r="D23" s="3">
        <v>477860</v>
      </c>
      <c r="E23" s="3">
        <v>1460113</v>
      </c>
      <c r="F23" s="3">
        <v>914303</v>
      </c>
      <c r="G23" s="3">
        <v>78855</v>
      </c>
      <c r="H23" s="3">
        <v>517247</v>
      </c>
      <c r="I23" s="242" t="s">
        <v>477</v>
      </c>
      <c r="J23" s="3">
        <v>147656</v>
      </c>
      <c r="K23" s="3">
        <v>616944</v>
      </c>
      <c r="L23" s="3">
        <v>405227</v>
      </c>
      <c r="M23" s="3">
        <v>3315218</v>
      </c>
      <c r="N23" s="3">
        <v>771150</v>
      </c>
      <c r="O23" s="3">
        <v>1273</v>
      </c>
      <c r="P23" s="4">
        <v>586327</v>
      </c>
    </row>
    <row r="24" spans="1:16" s="14" customFormat="1" ht="4.5" customHeight="1">
      <c r="A24" s="142"/>
      <c r="B24" s="48"/>
      <c r="C24" s="2"/>
      <c r="D24" s="3"/>
      <c r="E24" s="3"/>
      <c r="F24" s="3"/>
      <c r="G24" s="3"/>
      <c r="H24" s="3"/>
      <c r="I24" s="156"/>
      <c r="J24" s="3"/>
      <c r="K24" s="3"/>
      <c r="L24" s="3"/>
      <c r="M24" s="3"/>
      <c r="N24" s="3"/>
      <c r="O24" s="3"/>
      <c r="P24" s="4"/>
    </row>
    <row r="25" spans="1:16" s="24" customFormat="1" ht="16.5" customHeight="1">
      <c r="A25" s="142" t="s">
        <v>485</v>
      </c>
      <c r="B25" s="255" t="s">
        <v>479</v>
      </c>
      <c r="C25" s="2">
        <v>13725508</v>
      </c>
      <c r="D25" s="3">
        <v>379070</v>
      </c>
      <c r="E25" s="3">
        <v>1461151</v>
      </c>
      <c r="F25" s="3">
        <v>1035960</v>
      </c>
      <c r="G25" s="3">
        <v>69346</v>
      </c>
      <c r="H25" s="3">
        <v>451350</v>
      </c>
      <c r="I25" s="242" t="s">
        <v>851</v>
      </c>
      <c r="J25" s="3">
        <v>163814</v>
      </c>
      <c r="K25" s="3">
        <v>613079</v>
      </c>
      <c r="L25" s="3">
        <v>352794</v>
      </c>
      <c r="M25" s="3">
        <v>2967247</v>
      </c>
      <c r="N25" s="3">
        <v>683801</v>
      </c>
      <c r="O25" s="3">
        <v>1127</v>
      </c>
      <c r="P25" s="4">
        <v>537815</v>
      </c>
    </row>
    <row r="26" spans="1:16" s="24" customFormat="1" ht="23.25" customHeight="1">
      <c r="A26" s="142">
        <v>2004</v>
      </c>
      <c r="B26" s="255" t="s">
        <v>476</v>
      </c>
      <c r="C26" s="2">
        <v>13725508</v>
      </c>
      <c r="D26" s="3">
        <v>379070</v>
      </c>
      <c r="E26" s="3">
        <v>1461151</v>
      </c>
      <c r="F26" s="3">
        <v>1035960</v>
      </c>
      <c r="G26" s="3">
        <v>69346</v>
      </c>
      <c r="H26" s="3">
        <v>451350</v>
      </c>
      <c r="I26" s="242" t="s">
        <v>851</v>
      </c>
      <c r="J26" s="3">
        <v>163814</v>
      </c>
      <c r="K26" s="3">
        <v>613079</v>
      </c>
      <c r="L26" s="3">
        <v>352794</v>
      </c>
      <c r="M26" s="3">
        <v>2967247</v>
      </c>
      <c r="N26" s="3">
        <v>683801</v>
      </c>
      <c r="O26" s="3">
        <v>1127</v>
      </c>
      <c r="P26" s="4">
        <v>537815</v>
      </c>
    </row>
    <row r="27" spans="1:16" s="14" customFormat="1" ht="4.5" customHeight="1">
      <c r="A27" s="142"/>
      <c r="B27" s="48"/>
      <c r="C27" s="2"/>
      <c r="D27" s="3"/>
      <c r="E27" s="3"/>
      <c r="F27" s="3"/>
      <c r="G27" s="3"/>
      <c r="H27" s="3"/>
      <c r="I27" s="156"/>
      <c r="J27" s="3"/>
      <c r="K27" s="3"/>
      <c r="L27" s="3"/>
      <c r="M27" s="3"/>
      <c r="N27" s="3"/>
      <c r="O27" s="3"/>
      <c r="P27" s="4"/>
    </row>
    <row r="28" spans="1:16" s="24" customFormat="1" ht="16.5" customHeight="1">
      <c r="A28" s="142" t="s">
        <v>486</v>
      </c>
      <c r="B28" s="255" t="s">
        <v>479</v>
      </c>
      <c r="C28" s="2">
        <v>14111703</v>
      </c>
      <c r="D28" s="3">
        <v>380766</v>
      </c>
      <c r="E28" s="3">
        <v>1486839</v>
      </c>
      <c r="F28" s="3">
        <v>1204321</v>
      </c>
      <c r="G28" s="3">
        <v>59995</v>
      </c>
      <c r="H28" s="3">
        <v>508456</v>
      </c>
      <c r="I28" s="242" t="s">
        <v>851</v>
      </c>
      <c r="J28" s="3">
        <v>179884</v>
      </c>
      <c r="K28" s="3">
        <v>607541</v>
      </c>
      <c r="L28" s="3">
        <v>394393</v>
      </c>
      <c r="M28" s="3">
        <v>2161541</v>
      </c>
      <c r="N28" s="3">
        <v>681455</v>
      </c>
      <c r="O28" s="3">
        <v>1010</v>
      </c>
      <c r="P28" s="4">
        <v>702820</v>
      </c>
    </row>
    <row r="29" spans="1:16" s="24" customFormat="1" ht="23.25" customHeight="1">
      <c r="A29" s="142">
        <v>2005</v>
      </c>
      <c r="B29" s="255" t="s">
        <v>476</v>
      </c>
      <c r="C29" s="2">
        <v>14111703</v>
      </c>
      <c r="D29" s="3">
        <v>380766</v>
      </c>
      <c r="E29" s="3">
        <v>1486839</v>
      </c>
      <c r="F29" s="3">
        <v>1204321</v>
      </c>
      <c r="G29" s="3">
        <v>59995</v>
      </c>
      <c r="H29" s="3">
        <v>508456</v>
      </c>
      <c r="I29" s="242" t="s">
        <v>851</v>
      </c>
      <c r="J29" s="3">
        <v>179884</v>
      </c>
      <c r="K29" s="3">
        <v>607541</v>
      </c>
      <c r="L29" s="3">
        <v>394393</v>
      </c>
      <c r="M29" s="3">
        <v>2161541</v>
      </c>
      <c r="N29" s="3">
        <v>681455</v>
      </c>
      <c r="O29" s="3">
        <v>1010</v>
      </c>
      <c r="P29" s="4">
        <v>702820</v>
      </c>
    </row>
    <row r="30" spans="1:16" s="14" customFormat="1" ht="4.5" customHeight="1">
      <c r="A30" s="142"/>
      <c r="B30" s="48"/>
      <c r="C30" s="2"/>
      <c r="D30" s="3"/>
      <c r="E30" s="3"/>
      <c r="F30" s="3"/>
      <c r="G30" s="3"/>
      <c r="H30" s="3"/>
      <c r="I30" s="156"/>
      <c r="J30" s="3"/>
      <c r="K30" s="3"/>
      <c r="L30" s="3"/>
      <c r="M30" s="3"/>
      <c r="N30" s="3"/>
      <c r="O30" s="3"/>
      <c r="P30" s="4"/>
    </row>
    <row r="31" spans="1:16" s="24" customFormat="1" ht="16.5" customHeight="1">
      <c r="A31" s="142" t="s">
        <v>487</v>
      </c>
      <c r="B31" s="255" t="s">
        <v>479</v>
      </c>
      <c r="C31" s="2">
        <v>12999791</v>
      </c>
      <c r="D31" s="3">
        <v>398174</v>
      </c>
      <c r="E31" s="3">
        <v>1486074</v>
      </c>
      <c r="F31" s="3">
        <v>1336895</v>
      </c>
      <c r="G31" s="3">
        <v>58244</v>
      </c>
      <c r="H31" s="3">
        <v>485178</v>
      </c>
      <c r="I31" s="242" t="s">
        <v>851</v>
      </c>
      <c r="J31" s="3">
        <v>158666</v>
      </c>
      <c r="K31" s="3">
        <v>517069</v>
      </c>
      <c r="L31" s="3">
        <v>360749</v>
      </c>
      <c r="M31" s="3">
        <v>1603667</v>
      </c>
      <c r="N31" s="3">
        <v>678034</v>
      </c>
      <c r="O31" s="3">
        <v>911</v>
      </c>
      <c r="P31" s="4">
        <v>635913</v>
      </c>
    </row>
    <row r="32" spans="1:16" s="24" customFormat="1" ht="23.25" customHeight="1">
      <c r="A32" s="142">
        <v>2006</v>
      </c>
      <c r="B32" s="255" t="s">
        <v>476</v>
      </c>
      <c r="C32" s="2">
        <v>12999791</v>
      </c>
      <c r="D32" s="3">
        <v>398174</v>
      </c>
      <c r="E32" s="3">
        <v>1486074</v>
      </c>
      <c r="F32" s="3">
        <v>1336895</v>
      </c>
      <c r="G32" s="3">
        <v>58244</v>
      </c>
      <c r="H32" s="3">
        <v>485178</v>
      </c>
      <c r="I32" s="242" t="s">
        <v>851</v>
      </c>
      <c r="J32" s="3">
        <v>158666</v>
      </c>
      <c r="K32" s="3">
        <v>517069</v>
      </c>
      <c r="L32" s="3">
        <v>360749</v>
      </c>
      <c r="M32" s="3">
        <v>1603667</v>
      </c>
      <c r="N32" s="3">
        <v>678034</v>
      </c>
      <c r="O32" s="3">
        <v>911</v>
      </c>
      <c r="P32" s="4">
        <v>635913</v>
      </c>
    </row>
    <row r="33" spans="1:16" s="1" customFormat="1" ht="4.5" customHeight="1">
      <c r="A33" s="142"/>
      <c r="B33" s="48"/>
      <c r="C33" s="2"/>
      <c r="D33" s="3"/>
      <c r="E33" s="3"/>
      <c r="F33" s="3"/>
      <c r="G33" s="3"/>
      <c r="H33" s="3"/>
      <c r="I33" s="156"/>
      <c r="J33" s="3"/>
      <c r="K33" s="3"/>
      <c r="L33" s="3"/>
      <c r="M33" s="3"/>
      <c r="N33" s="3"/>
      <c r="O33" s="3"/>
      <c r="P33" s="4"/>
    </row>
    <row r="34" spans="1:16" s="24" customFormat="1" ht="16.5" customHeight="1">
      <c r="A34" s="142" t="s">
        <v>488</v>
      </c>
      <c r="B34" s="255" t="s">
        <v>479</v>
      </c>
      <c r="C34" s="2">
        <v>14246464</v>
      </c>
      <c r="D34" s="3">
        <v>436429</v>
      </c>
      <c r="E34" s="3">
        <v>1576726</v>
      </c>
      <c r="F34" s="3">
        <v>1215263</v>
      </c>
      <c r="G34" s="3">
        <v>60265</v>
      </c>
      <c r="H34" s="3">
        <v>542120</v>
      </c>
      <c r="I34" s="242" t="s">
        <v>851</v>
      </c>
      <c r="J34" s="3">
        <v>290860</v>
      </c>
      <c r="K34" s="3">
        <v>420278</v>
      </c>
      <c r="L34" s="3">
        <v>340467</v>
      </c>
      <c r="M34" s="3">
        <v>2353997</v>
      </c>
      <c r="N34" s="3">
        <v>933199</v>
      </c>
      <c r="O34" s="3">
        <v>847</v>
      </c>
      <c r="P34" s="4">
        <v>643805</v>
      </c>
    </row>
    <row r="35" spans="1:16" s="24" customFormat="1" ht="23.25" customHeight="1">
      <c r="A35" s="142">
        <v>2007</v>
      </c>
      <c r="B35" s="255" t="s">
        <v>476</v>
      </c>
      <c r="C35" s="2">
        <v>14246464</v>
      </c>
      <c r="D35" s="3">
        <v>436429</v>
      </c>
      <c r="E35" s="3">
        <v>1576726</v>
      </c>
      <c r="F35" s="3">
        <v>1215263</v>
      </c>
      <c r="G35" s="3">
        <v>60265</v>
      </c>
      <c r="H35" s="3">
        <v>542120</v>
      </c>
      <c r="I35" s="242" t="s">
        <v>851</v>
      </c>
      <c r="J35" s="3">
        <v>290860</v>
      </c>
      <c r="K35" s="3">
        <v>420278</v>
      </c>
      <c r="L35" s="3">
        <v>340467</v>
      </c>
      <c r="M35" s="3">
        <v>2353997</v>
      </c>
      <c r="N35" s="3">
        <v>933199</v>
      </c>
      <c r="O35" s="3">
        <v>847</v>
      </c>
      <c r="P35" s="4">
        <v>643805</v>
      </c>
    </row>
    <row r="36" spans="1:16" s="1" customFormat="1" ht="4.5" customHeight="1">
      <c r="A36" s="142"/>
      <c r="B36" s="48"/>
      <c r="C36" s="2"/>
      <c r="D36" s="3"/>
      <c r="E36" s="3"/>
      <c r="F36" s="3"/>
      <c r="G36" s="3"/>
      <c r="H36" s="3"/>
      <c r="I36" s="156"/>
      <c r="J36" s="3"/>
      <c r="K36" s="3"/>
      <c r="L36" s="3"/>
      <c r="M36" s="3"/>
      <c r="N36" s="3"/>
      <c r="O36" s="3"/>
      <c r="P36" s="4"/>
    </row>
    <row r="37" spans="1:16" s="24" customFormat="1" ht="16.5" customHeight="1">
      <c r="A37" s="142" t="s">
        <v>489</v>
      </c>
      <c r="B37" s="255" t="s">
        <v>479</v>
      </c>
      <c r="C37" s="2">
        <f>SUM(D37:P37)+SUM('6-11各鄉鎮市歲出預決算-按政事別分(預算)續完'!C37:O37)</f>
        <v>14792598</v>
      </c>
      <c r="D37" s="3">
        <f>390595+13785</f>
        <v>404380</v>
      </c>
      <c r="E37" s="3">
        <f>1510970+73578</f>
        <v>1584548</v>
      </c>
      <c r="F37" s="3">
        <f>1170170+137027</f>
        <v>1307197</v>
      </c>
      <c r="G37" s="3">
        <f>62213+440</f>
        <v>62653</v>
      </c>
      <c r="H37" s="3">
        <f>229483+349270</f>
        <v>578753</v>
      </c>
      <c r="I37" s="242" t="s">
        <v>851</v>
      </c>
      <c r="J37" s="3">
        <f>204824+125783</f>
        <v>330607</v>
      </c>
      <c r="K37" s="3">
        <f>240123+205563</f>
        <v>445686</v>
      </c>
      <c r="L37" s="3">
        <f>236751+32658</f>
        <v>269409</v>
      </c>
      <c r="M37" s="3">
        <f>23149+2391739</f>
        <v>2414888</v>
      </c>
      <c r="N37" s="3">
        <f>390733+735670</f>
        <v>1126403</v>
      </c>
      <c r="O37" s="3">
        <f>844+0</f>
        <v>844</v>
      </c>
      <c r="P37" s="4">
        <f>715566+400</f>
        <v>715966</v>
      </c>
    </row>
    <row r="38" spans="1:16" s="24" customFormat="1" ht="23.25" customHeight="1" thickBot="1">
      <c r="A38" s="63">
        <v>2008</v>
      </c>
      <c r="B38" s="256" t="s">
        <v>476</v>
      </c>
      <c r="C38" s="7">
        <f>SUM(D38:P38)+SUM('6-11各鄉鎮市歲出預決算-按政事別分(預算)續完'!C38:O38)</f>
        <v>14792598</v>
      </c>
      <c r="D38" s="8">
        <v>404380</v>
      </c>
      <c r="E38" s="8">
        <v>1584548</v>
      </c>
      <c r="F38" s="8">
        <v>1307197</v>
      </c>
      <c r="G38" s="8">
        <v>62653</v>
      </c>
      <c r="H38" s="8">
        <v>578753</v>
      </c>
      <c r="I38" s="244" t="s">
        <v>851</v>
      </c>
      <c r="J38" s="8">
        <v>330607</v>
      </c>
      <c r="K38" s="8">
        <v>445686</v>
      </c>
      <c r="L38" s="8">
        <v>269409</v>
      </c>
      <c r="M38" s="8">
        <v>2414888</v>
      </c>
      <c r="N38" s="8">
        <v>1126403</v>
      </c>
      <c r="O38" s="8">
        <v>844</v>
      </c>
      <c r="P38" s="28">
        <v>715966</v>
      </c>
    </row>
    <row r="39" spans="1:9" s="140" customFormat="1" ht="13.5" customHeight="1">
      <c r="A39" s="177" t="s">
        <v>51</v>
      </c>
      <c r="I39" s="139" t="s">
        <v>52</v>
      </c>
    </row>
  </sheetData>
  <mergeCells count="7">
    <mergeCell ref="I2:P2"/>
    <mergeCell ref="A3:H3"/>
    <mergeCell ref="I3:P3"/>
    <mergeCell ref="A13:A14"/>
    <mergeCell ref="A5:B5"/>
    <mergeCell ref="A6:B6"/>
    <mergeCell ref="A2:H2"/>
  </mergeCells>
  <printOptions/>
  <pageMargins left="1.1811023622047245" right="1.1811023622047245" top="1.5748031496062993" bottom="1.5748031496062993" header="0.5118110236220472" footer="0.9055118110236221"/>
  <pageSetup firstPageNumber="292"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19.xml><?xml version="1.0" encoding="utf-8"?>
<worksheet xmlns="http://schemas.openxmlformats.org/spreadsheetml/2006/main" xmlns:r="http://schemas.openxmlformats.org/officeDocument/2006/relationships">
  <sheetPr>
    <tabColor indexed="17"/>
  </sheetPr>
  <dimension ref="A1:O39"/>
  <sheetViews>
    <sheetView showGridLines="0" zoomScale="120" zoomScaleNormal="120" workbookViewId="0" topLeftCell="A1">
      <selection activeCell="A1" sqref="A1"/>
    </sheetView>
  </sheetViews>
  <sheetFormatPr defaultColWidth="9.00390625" defaultRowHeight="16.5"/>
  <cols>
    <col min="1" max="1" width="11.125" style="13" customWidth="1"/>
    <col min="2" max="2" width="13.625" style="13" customWidth="1"/>
    <col min="3" max="4" width="10.625" style="13" customWidth="1"/>
    <col min="5" max="6" width="9.625" style="13" customWidth="1"/>
    <col min="7" max="7" width="10.625" style="13" customWidth="1"/>
    <col min="8" max="8" width="9.00390625" style="13" customWidth="1"/>
    <col min="9" max="9" width="8.625" style="13" customWidth="1"/>
    <col min="10" max="10" width="9.375" style="13" customWidth="1"/>
    <col min="11" max="11" width="8.625" style="13" customWidth="1"/>
    <col min="12" max="13" width="11.625" style="13" customWidth="1"/>
    <col min="14" max="15" width="8.625" style="13" customWidth="1"/>
    <col min="16" max="16384" width="9.00390625" style="13" customWidth="1"/>
  </cols>
  <sheetData>
    <row r="1" spans="1:15" s="14" customFormat="1" ht="18" customHeight="1">
      <c r="A1" s="177" t="s">
        <v>615</v>
      </c>
      <c r="B1" s="26"/>
      <c r="C1" s="26"/>
      <c r="O1" s="49" t="s">
        <v>616</v>
      </c>
    </row>
    <row r="2" spans="1:15" s="16" customFormat="1" ht="24.75" customHeight="1">
      <c r="A2" s="434" t="s">
        <v>81</v>
      </c>
      <c r="B2" s="433"/>
      <c r="C2" s="433"/>
      <c r="D2" s="433"/>
      <c r="E2" s="433"/>
      <c r="F2" s="433"/>
      <c r="G2" s="433"/>
      <c r="H2" s="486" t="s">
        <v>82</v>
      </c>
      <c r="I2" s="486"/>
      <c r="J2" s="486"/>
      <c r="K2" s="486"/>
      <c r="L2" s="486"/>
      <c r="M2" s="486"/>
      <c r="N2" s="486"/>
      <c r="O2" s="486"/>
    </row>
    <row r="3" spans="1:15" s="367" customFormat="1" ht="18.75" customHeight="1">
      <c r="A3" s="438" t="s">
        <v>719</v>
      </c>
      <c r="B3" s="439"/>
      <c r="C3" s="439"/>
      <c r="D3" s="439"/>
      <c r="E3" s="439"/>
      <c r="F3" s="439"/>
      <c r="G3" s="439"/>
      <c r="H3" s="439" t="s">
        <v>720</v>
      </c>
      <c r="I3" s="439"/>
      <c r="J3" s="439"/>
      <c r="K3" s="439"/>
      <c r="L3" s="439"/>
      <c r="M3" s="439"/>
      <c r="N3" s="439"/>
      <c r="O3" s="439"/>
    </row>
    <row r="4" spans="1:15" s="52" customFormat="1" ht="15" customHeight="1" thickBot="1">
      <c r="A4" s="149"/>
      <c r="B4" s="149"/>
      <c r="C4" s="55"/>
      <c r="D4" s="55"/>
      <c r="E4" s="55"/>
      <c r="F4" s="55"/>
      <c r="G4" s="214" t="s">
        <v>681</v>
      </c>
      <c r="I4" s="55"/>
      <c r="J4" s="55"/>
      <c r="K4" s="55"/>
      <c r="M4" s="150"/>
      <c r="N4" s="150"/>
      <c r="O4" s="63" t="s">
        <v>682</v>
      </c>
    </row>
    <row r="5" spans="1:15" s="149" customFormat="1" ht="25.5" customHeight="1">
      <c r="A5" s="445" t="s">
        <v>683</v>
      </c>
      <c r="B5" s="446"/>
      <c r="C5" s="274" t="s">
        <v>53</v>
      </c>
      <c r="D5" s="220" t="s">
        <v>54</v>
      </c>
      <c r="E5" s="220" t="s">
        <v>55</v>
      </c>
      <c r="F5" s="220" t="s">
        <v>56</v>
      </c>
      <c r="G5" s="220" t="s">
        <v>57</v>
      </c>
      <c r="H5" s="219" t="s">
        <v>58</v>
      </c>
      <c r="I5" s="220" t="s">
        <v>59</v>
      </c>
      <c r="J5" s="220" t="s">
        <v>60</v>
      </c>
      <c r="K5" s="220" t="s">
        <v>61</v>
      </c>
      <c r="L5" s="220" t="s">
        <v>62</v>
      </c>
      <c r="M5" s="220" t="s">
        <v>63</v>
      </c>
      <c r="N5" s="220" t="s">
        <v>64</v>
      </c>
      <c r="O5" s="221" t="s">
        <v>65</v>
      </c>
    </row>
    <row r="6" spans="1:15" s="56" customFormat="1" ht="39.75" customHeight="1" thickBot="1">
      <c r="A6" s="444" t="s">
        <v>684</v>
      </c>
      <c r="B6" s="431"/>
      <c r="C6" s="151" t="s">
        <v>66</v>
      </c>
      <c r="D6" s="58" t="s">
        <v>67</v>
      </c>
      <c r="E6" s="58" t="s">
        <v>68</v>
      </c>
      <c r="F6" s="58" t="s">
        <v>69</v>
      </c>
      <c r="G6" s="58" t="s">
        <v>70</v>
      </c>
      <c r="H6" s="57" t="s">
        <v>71</v>
      </c>
      <c r="I6" s="58" t="s">
        <v>72</v>
      </c>
      <c r="J6" s="58" t="s">
        <v>73</v>
      </c>
      <c r="K6" s="58" t="s">
        <v>74</v>
      </c>
      <c r="L6" s="58" t="s">
        <v>75</v>
      </c>
      <c r="M6" s="58" t="s">
        <v>76</v>
      </c>
      <c r="N6" s="58" t="s">
        <v>77</v>
      </c>
      <c r="O6" s="59" t="s">
        <v>78</v>
      </c>
    </row>
    <row r="7" spans="1:15" s="24" customFormat="1" ht="16.5" customHeight="1">
      <c r="A7" s="142" t="s">
        <v>79</v>
      </c>
      <c r="B7" s="255" t="s">
        <v>80</v>
      </c>
      <c r="C7" s="3">
        <v>1001494</v>
      </c>
      <c r="D7" s="240" t="s">
        <v>835</v>
      </c>
      <c r="E7" s="3">
        <v>210753</v>
      </c>
      <c r="F7" s="240" t="s">
        <v>835</v>
      </c>
      <c r="G7" s="3">
        <v>3177286</v>
      </c>
      <c r="H7" s="242" t="s">
        <v>835</v>
      </c>
      <c r="I7" s="240" t="s">
        <v>835</v>
      </c>
      <c r="J7" s="3">
        <f>303157+82649</f>
        <v>385806</v>
      </c>
      <c r="K7" s="240" t="s">
        <v>835</v>
      </c>
      <c r="L7" s="240" t="s">
        <v>835</v>
      </c>
      <c r="M7" s="240" t="s">
        <v>835</v>
      </c>
      <c r="N7" s="3">
        <v>43200</v>
      </c>
      <c r="O7" s="15">
        <v>155562</v>
      </c>
    </row>
    <row r="8" spans="1:15" s="24" customFormat="1" ht="24" customHeight="1">
      <c r="A8" s="142">
        <v>1998</v>
      </c>
      <c r="B8" s="255" t="s">
        <v>476</v>
      </c>
      <c r="C8" s="15">
        <v>1302260</v>
      </c>
      <c r="D8" s="240" t="s">
        <v>477</v>
      </c>
      <c r="E8" s="15">
        <v>353102</v>
      </c>
      <c r="F8" s="240" t="s">
        <v>477</v>
      </c>
      <c r="G8" s="3">
        <v>3748213</v>
      </c>
      <c r="H8" s="242" t="s">
        <v>477</v>
      </c>
      <c r="I8" s="240" t="s">
        <v>477</v>
      </c>
      <c r="J8" s="50">
        <v>361208</v>
      </c>
      <c r="K8" s="240" t="s">
        <v>477</v>
      </c>
      <c r="L8" s="240" t="s">
        <v>477</v>
      </c>
      <c r="M8" s="240" t="s">
        <v>477</v>
      </c>
      <c r="N8" s="50">
        <v>25309</v>
      </c>
      <c r="O8" s="390">
        <v>175725</v>
      </c>
    </row>
    <row r="9" spans="1:15" s="14" customFormat="1" ht="5.25" customHeight="1">
      <c r="A9" s="142"/>
      <c r="B9" s="48"/>
      <c r="C9" s="15"/>
      <c r="D9" s="3"/>
      <c r="E9" s="15"/>
      <c r="F9" s="3"/>
      <c r="G9" s="3"/>
      <c r="H9" s="287"/>
      <c r="I9" s="3"/>
      <c r="J9" s="50"/>
      <c r="K9" s="3"/>
      <c r="L9" s="3"/>
      <c r="M9" s="3"/>
      <c r="N9" s="50"/>
      <c r="O9" s="390"/>
    </row>
    <row r="10" spans="1:15" s="24" customFormat="1" ht="16.5" customHeight="1">
      <c r="A10" s="142" t="s">
        <v>478</v>
      </c>
      <c r="B10" s="255" t="s">
        <v>479</v>
      </c>
      <c r="C10" s="15">
        <v>1854944</v>
      </c>
      <c r="D10" s="240" t="s">
        <v>477</v>
      </c>
      <c r="E10" s="15">
        <v>203336</v>
      </c>
      <c r="F10" s="240" t="s">
        <v>477</v>
      </c>
      <c r="G10" s="3">
        <v>3957871</v>
      </c>
      <c r="H10" s="242" t="s">
        <v>477</v>
      </c>
      <c r="I10" s="240" t="s">
        <v>477</v>
      </c>
      <c r="J10" s="50">
        <v>62717</v>
      </c>
      <c r="K10" s="240" t="s">
        <v>477</v>
      </c>
      <c r="L10" s="240" t="s">
        <v>477</v>
      </c>
      <c r="M10" s="240" t="s">
        <v>477</v>
      </c>
      <c r="N10" s="50">
        <v>43200</v>
      </c>
      <c r="O10" s="390">
        <v>61535</v>
      </c>
    </row>
    <row r="11" spans="1:15" s="24" customFormat="1" ht="24" customHeight="1">
      <c r="A11" s="142">
        <v>1999</v>
      </c>
      <c r="B11" s="255" t="s">
        <v>476</v>
      </c>
      <c r="C11" s="15">
        <v>1954385</v>
      </c>
      <c r="D11" s="240" t="s">
        <v>477</v>
      </c>
      <c r="E11" s="15">
        <v>282900</v>
      </c>
      <c r="F11" s="240" t="s">
        <v>477</v>
      </c>
      <c r="G11" s="3">
        <v>4091368</v>
      </c>
      <c r="H11" s="242" t="s">
        <v>477</v>
      </c>
      <c r="I11" s="240" t="s">
        <v>477</v>
      </c>
      <c r="J11" s="50">
        <v>173206</v>
      </c>
      <c r="K11" s="240" t="s">
        <v>477</v>
      </c>
      <c r="L11" s="240" t="s">
        <v>477</v>
      </c>
      <c r="M11" s="240" t="s">
        <v>477</v>
      </c>
      <c r="N11" s="50">
        <v>43200</v>
      </c>
      <c r="O11" s="390">
        <v>155318</v>
      </c>
    </row>
    <row r="12" spans="1:15" s="14" customFormat="1" ht="5.25" customHeight="1">
      <c r="A12" s="142"/>
      <c r="B12" s="48"/>
      <c r="C12" s="15"/>
      <c r="D12" s="3"/>
      <c r="E12" s="15"/>
      <c r="F12" s="3"/>
      <c r="G12" s="3"/>
      <c r="H12" s="287"/>
      <c r="I12" s="3"/>
      <c r="J12" s="50"/>
      <c r="K12" s="3"/>
      <c r="L12" s="3"/>
      <c r="M12" s="3"/>
      <c r="N12" s="50"/>
      <c r="O12" s="390"/>
    </row>
    <row r="13" spans="1:15" s="24" customFormat="1" ht="16.5" customHeight="1">
      <c r="A13" s="447" t="s">
        <v>50</v>
      </c>
      <c r="B13" s="255" t="s">
        <v>479</v>
      </c>
      <c r="C13" s="15">
        <v>3297090</v>
      </c>
      <c r="D13" s="240" t="s">
        <v>477</v>
      </c>
      <c r="E13" s="15">
        <v>233849</v>
      </c>
      <c r="F13" s="240" t="s">
        <v>477</v>
      </c>
      <c r="G13" s="3">
        <v>4787900</v>
      </c>
      <c r="H13" s="287">
        <v>349185</v>
      </c>
      <c r="I13" s="240" t="s">
        <v>477</v>
      </c>
      <c r="J13" s="50">
        <v>74974</v>
      </c>
      <c r="K13" s="240" t="s">
        <v>477</v>
      </c>
      <c r="L13" s="240" t="s">
        <v>477</v>
      </c>
      <c r="M13" s="240" t="s">
        <v>477</v>
      </c>
      <c r="N13" s="50">
        <v>51750</v>
      </c>
      <c r="O13" s="390">
        <v>27783</v>
      </c>
    </row>
    <row r="14" spans="1:15" s="24" customFormat="1" ht="24" customHeight="1">
      <c r="A14" s="447"/>
      <c r="B14" s="255" t="s">
        <v>476</v>
      </c>
      <c r="C14" s="15">
        <v>3398375</v>
      </c>
      <c r="D14" s="240" t="s">
        <v>477</v>
      </c>
      <c r="E14" s="15">
        <v>271428</v>
      </c>
      <c r="F14" s="240" t="s">
        <v>477</v>
      </c>
      <c r="G14" s="3">
        <v>5643385</v>
      </c>
      <c r="H14" s="287">
        <v>273401</v>
      </c>
      <c r="I14" s="240" t="s">
        <v>477</v>
      </c>
      <c r="J14" s="50">
        <v>76956</v>
      </c>
      <c r="K14" s="240" t="s">
        <v>477</v>
      </c>
      <c r="L14" s="240" t="s">
        <v>477</v>
      </c>
      <c r="M14" s="240" t="s">
        <v>477</v>
      </c>
      <c r="N14" s="50">
        <v>51250</v>
      </c>
      <c r="O14" s="390">
        <v>78040</v>
      </c>
    </row>
    <row r="15" spans="1:15" s="14" customFormat="1" ht="5.25" customHeight="1">
      <c r="A15" s="142"/>
      <c r="B15" s="48"/>
      <c r="C15" s="15"/>
      <c r="D15" s="3"/>
      <c r="E15" s="15"/>
      <c r="F15" s="3"/>
      <c r="G15" s="3"/>
      <c r="H15" s="287"/>
      <c r="I15" s="3"/>
      <c r="J15" s="50"/>
      <c r="K15" s="3"/>
      <c r="L15" s="3"/>
      <c r="M15" s="3"/>
      <c r="N15" s="50"/>
      <c r="O15" s="390"/>
    </row>
    <row r="16" spans="1:15" s="24" customFormat="1" ht="16.5" customHeight="1">
      <c r="A16" s="142" t="s">
        <v>482</v>
      </c>
      <c r="B16" s="255" t="s">
        <v>479</v>
      </c>
      <c r="C16" s="15">
        <v>2702996</v>
      </c>
      <c r="D16" s="240" t="s">
        <v>477</v>
      </c>
      <c r="E16" s="15">
        <v>186818</v>
      </c>
      <c r="F16" s="240" t="s">
        <v>477</v>
      </c>
      <c r="G16" s="3">
        <v>3575664</v>
      </c>
      <c r="H16" s="287">
        <v>282514</v>
      </c>
      <c r="I16" s="240" t="s">
        <v>477</v>
      </c>
      <c r="J16" s="50">
        <v>49294</v>
      </c>
      <c r="K16" s="240" t="s">
        <v>477</v>
      </c>
      <c r="L16" s="240" t="s">
        <v>477</v>
      </c>
      <c r="M16" s="240" t="s">
        <v>477</v>
      </c>
      <c r="N16" s="50">
        <v>64629</v>
      </c>
      <c r="O16" s="390">
        <v>44200</v>
      </c>
    </row>
    <row r="17" spans="1:15" s="24" customFormat="1" ht="24" customHeight="1">
      <c r="A17" s="142">
        <v>2001</v>
      </c>
      <c r="B17" s="255" t="s">
        <v>476</v>
      </c>
      <c r="C17" s="15">
        <v>2924252</v>
      </c>
      <c r="D17" s="240" t="s">
        <v>477</v>
      </c>
      <c r="E17" s="15">
        <v>285744</v>
      </c>
      <c r="F17" s="240" t="s">
        <v>477</v>
      </c>
      <c r="G17" s="3">
        <v>3327316</v>
      </c>
      <c r="H17" s="287">
        <v>285073</v>
      </c>
      <c r="I17" s="240" t="s">
        <v>477</v>
      </c>
      <c r="J17" s="50">
        <v>47565</v>
      </c>
      <c r="K17" s="240" t="s">
        <v>477</v>
      </c>
      <c r="L17" s="240" t="s">
        <v>477</v>
      </c>
      <c r="M17" s="240" t="s">
        <v>477</v>
      </c>
      <c r="N17" s="50">
        <v>26821</v>
      </c>
      <c r="O17" s="390">
        <v>39455</v>
      </c>
    </row>
    <row r="18" spans="1:15" s="14" customFormat="1" ht="5.25" customHeight="1">
      <c r="A18" s="142"/>
      <c r="B18" s="48"/>
      <c r="C18" s="15"/>
      <c r="D18" s="3"/>
      <c r="E18" s="15"/>
      <c r="F18" s="3"/>
      <c r="G18" s="3"/>
      <c r="H18" s="287"/>
      <c r="I18" s="3"/>
      <c r="J18" s="50"/>
      <c r="K18" s="3"/>
      <c r="L18" s="3"/>
      <c r="M18" s="3"/>
      <c r="N18" s="50"/>
      <c r="O18" s="390"/>
    </row>
    <row r="19" spans="1:15" s="24" customFormat="1" ht="16.5" customHeight="1">
      <c r="A19" s="142" t="s">
        <v>483</v>
      </c>
      <c r="B19" s="255" t="s">
        <v>479</v>
      </c>
      <c r="C19" s="15">
        <v>2045227</v>
      </c>
      <c r="D19" s="240" t="s">
        <v>477</v>
      </c>
      <c r="E19" s="15">
        <v>147130</v>
      </c>
      <c r="F19" s="240" t="s">
        <v>477</v>
      </c>
      <c r="G19" s="3">
        <v>2545002</v>
      </c>
      <c r="H19" s="287">
        <v>284970</v>
      </c>
      <c r="I19" s="240" t="s">
        <v>477</v>
      </c>
      <c r="J19" s="50">
        <v>36733</v>
      </c>
      <c r="K19" s="240" t="s">
        <v>477</v>
      </c>
      <c r="L19" s="240" t="s">
        <v>477</v>
      </c>
      <c r="M19" s="240" t="s">
        <v>477</v>
      </c>
      <c r="N19" s="50">
        <v>26780</v>
      </c>
      <c r="O19" s="390">
        <v>15217</v>
      </c>
    </row>
    <row r="20" spans="1:15" s="24" customFormat="1" ht="24" customHeight="1">
      <c r="A20" s="142">
        <v>2002</v>
      </c>
      <c r="B20" s="255" t="s">
        <v>476</v>
      </c>
      <c r="C20" s="15">
        <v>2132110</v>
      </c>
      <c r="D20" s="240" t="s">
        <v>477</v>
      </c>
      <c r="E20" s="15">
        <v>166722</v>
      </c>
      <c r="F20" s="240" t="s">
        <v>477</v>
      </c>
      <c r="G20" s="3">
        <v>2799459</v>
      </c>
      <c r="H20" s="287">
        <v>303252</v>
      </c>
      <c r="I20" s="240" t="s">
        <v>477</v>
      </c>
      <c r="J20" s="50">
        <v>38335</v>
      </c>
      <c r="K20" s="240" t="s">
        <v>477</v>
      </c>
      <c r="L20" s="240" t="s">
        <v>477</v>
      </c>
      <c r="M20" s="240" t="s">
        <v>477</v>
      </c>
      <c r="N20" s="50">
        <v>17027</v>
      </c>
      <c r="O20" s="390">
        <v>56879</v>
      </c>
    </row>
    <row r="21" spans="1:15" s="14" customFormat="1" ht="5.25" customHeight="1">
      <c r="A21" s="142"/>
      <c r="B21" s="48"/>
      <c r="C21" s="15"/>
      <c r="D21" s="3"/>
      <c r="E21" s="15"/>
      <c r="F21" s="3"/>
      <c r="G21" s="3"/>
      <c r="H21" s="287"/>
      <c r="I21" s="3"/>
      <c r="J21" s="50"/>
      <c r="K21" s="3"/>
      <c r="L21" s="3"/>
      <c r="M21" s="3"/>
      <c r="N21" s="50"/>
      <c r="O21" s="390"/>
    </row>
    <row r="22" spans="1:15" s="24" customFormat="1" ht="16.5" customHeight="1">
      <c r="A22" s="142" t="s">
        <v>484</v>
      </c>
      <c r="B22" s="255" t="s">
        <v>479</v>
      </c>
      <c r="C22" s="15">
        <v>1860960</v>
      </c>
      <c r="D22" s="240" t="s">
        <v>477</v>
      </c>
      <c r="E22" s="15">
        <v>165732</v>
      </c>
      <c r="F22" s="240" t="s">
        <v>477</v>
      </c>
      <c r="G22" s="3">
        <v>2648155</v>
      </c>
      <c r="H22" s="287">
        <v>318252</v>
      </c>
      <c r="I22" s="240" t="s">
        <v>477</v>
      </c>
      <c r="J22" s="50">
        <v>35999</v>
      </c>
      <c r="K22" s="240" t="s">
        <v>477</v>
      </c>
      <c r="L22" s="240" t="s">
        <v>477</v>
      </c>
      <c r="M22" s="240" t="s">
        <v>477</v>
      </c>
      <c r="N22" s="50">
        <v>26953</v>
      </c>
      <c r="O22" s="390">
        <v>303181</v>
      </c>
    </row>
    <row r="23" spans="1:15" s="24" customFormat="1" ht="24" customHeight="1">
      <c r="A23" s="142">
        <v>2003</v>
      </c>
      <c r="B23" s="255" t="s">
        <v>476</v>
      </c>
      <c r="C23" s="15">
        <v>1887431</v>
      </c>
      <c r="D23" s="240" t="s">
        <v>477</v>
      </c>
      <c r="E23" s="15">
        <v>169195</v>
      </c>
      <c r="F23" s="240" t="s">
        <v>477</v>
      </c>
      <c r="G23" s="3">
        <v>2737148</v>
      </c>
      <c r="H23" s="287">
        <v>317352</v>
      </c>
      <c r="I23" s="240" t="s">
        <v>477</v>
      </c>
      <c r="J23" s="50">
        <v>34999</v>
      </c>
      <c r="K23" s="240" t="s">
        <v>477</v>
      </c>
      <c r="L23" s="240" t="s">
        <v>477</v>
      </c>
      <c r="M23" s="240" t="s">
        <v>477</v>
      </c>
      <c r="N23" s="50">
        <v>26953</v>
      </c>
      <c r="O23" s="390">
        <v>296654</v>
      </c>
    </row>
    <row r="24" spans="1:15" s="14" customFormat="1" ht="5.25" customHeight="1">
      <c r="A24" s="142"/>
      <c r="B24" s="48"/>
      <c r="C24" s="15"/>
      <c r="D24" s="3"/>
      <c r="E24" s="15"/>
      <c r="F24" s="3"/>
      <c r="G24" s="3"/>
      <c r="H24" s="287"/>
      <c r="I24" s="3"/>
      <c r="J24" s="50"/>
      <c r="K24" s="3"/>
      <c r="L24" s="3"/>
      <c r="M24" s="3"/>
      <c r="N24" s="50"/>
      <c r="O24" s="390"/>
    </row>
    <row r="25" spans="1:15" s="24" customFormat="1" ht="16.5" customHeight="1">
      <c r="A25" s="142" t="s">
        <v>485</v>
      </c>
      <c r="B25" s="255" t="s">
        <v>479</v>
      </c>
      <c r="C25" s="15">
        <v>1544409</v>
      </c>
      <c r="D25" s="240" t="s">
        <v>477</v>
      </c>
      <c r="E25" s="15">
        <v>145249</v>
      </c>
      <c r="F25" s="240" t="s">
        <v>477</v>
      </c>
      <c r="G25" s="3">
        <v>2644983</v>
      </c>
      <c r="H25" s="287">
        <v>315243</v>
      </c>
      <c r="I25" s="240" t="s">
        <v>851</v>
      </c>
      <c r="J25" s="50">
        <v>30886</v>
      </c>
      <c r="K25" s="240" t="s">
        <v>851</v>
      </c>
      <c r="L25" s="240" t="s">
        <v>851</v>
      </c>
      <c r="M25" s="240" t="s">
        <v>851</v>
      </c>
      <c r="N25" s="50">
        <v>30100</v>
      </c>
      <c r="O25" s="390">
        <v>298084</v>
      </c>
    </row>
    <row r="26" spans="1:15" s="24" customFormat="1" ht="24" customHeight="1">
      <c r="A26" s="142">
        <v>2004</v>
      </c>
      <c r="B26" s="255" t="s">
        <v>476</v>
      </c>
      <c r="C26" s="15">
        <v>1544409</v>
      </c>
      <c r="D26" s="240" t="s">
        <v>477</v>
      </c>
      <c r="E26" s="15">
        <v>145249</v>
      </c>
      <c r="F26" s="240" t="s">
        <v>477</v>
      </c>
      <c r="G26" s="3">
        <v>2644983</v>
      </c>
      <c r="H26" s="287">
        <v>315243</v>
      </c>
      <c r="I26" s="240" t="s">
        <v>851</v>
      </c>
      <c r="J26" s="50">
        <v>30886</v>
      </c>
      <c r="K26" s="240" t="s">
        <v>851</v>
      </c>
      <c r="L26" s="240" t="s">
        <v>851</v>
      </c>
      <c r="M26" s="240" t="s">
        <v>851</v>
      </c>
      <c r="N26" s="50">
        <v>30100</v>
      </c>
      <c r="O26" s="390">
        <v>298084</v>
      </c>
    </row>
    <row r="27" spans="1:15" s="14" customFormat="1" ht="5.25" customHeight="1">
      <c r="A27" s="142"/>
      <c r="B27" s="48"/>
      <c r="C27" s="15"/>
      <c r="D27" s="3"/>
      <c r="E27" s="15"/>
      <c r="F27" s="3"/>
      <c r="G27" s="3"/>
      <c r="H27" s="287"/>
      <c r="I27" s="3"/>
      <c r="J27" s="50"/>
      <c r="K27" s="3"/>
      <c r="L27" s="3"/>
      <c r="M27" s="3"/>
      <c r="N27" s="50"/>
      <c r="O27" s="390"/>
    </row>
    <row r="28" spans="1:15" s="24" customFormat="1" ht="16.5" customHeight="1">
      <c r="A28" s="142" t="s">
        <v>486</v>
      </c>
      <c r="B28" s="255" t="s">
        <v>479</v>
      </c>
      <c r="C28" s="15">
        <v>2467946</v>
      </c>
      <c r="D28" s="240" t="s">
        <v>477</v>
      </c>
      <c r="E28" s="15">
        <v>158876</v>
      </c>
      <c r="F28" s="240" t="s">
        <v>477</v>
      </c>
      <c r="G28" s="3">
        <v>2384933</v>
      </c>
      <c r="H28" s="287">
        <v>349772</v>
      </c>
      <c r="I28" s="240" t="s">
        <v>477</v>
      </c>
      <c r="J28" s="50">
        <v>23482</v>
      </c>
      <c r="K28" s="240" t="s">
        <v>477</v>
      </c>
      <c r="L28" s="240" t="s">
        <v>477</v>
      </c>
      <c r="M28" s="240" t="s">
        <v>477</v>
      </c>
      <c r="N28" s="50">
        <v>33640</v>
      </c>
      <c r="O28" s="390">
        <v>324033</v>
      </c>
    </row>
    <row r="29" spans="1:15" s="24" customFormat="1" ht="24" customHeight="1">
      <c r="A29" s="142">
        <v>2005</v>
      </c>
      <c r="B29" s="255" t="s">
        <v>476</v>
      </c>
      <c r="C29" s="15">
        <v>2467946</v>
      </c>
      <c r="D29" s="240" t="s">
        <v>477</v>
      </c>
      <c r="E29" s="15">
        <v>158876</v>
      </c>
      <c r="F29" s="240" t="s">
        <v>477</v>
      </c>
      <c r="G29" s="3">
        <v>2384933</v>
      </c>
      <c r="H29" s="287">
        <v>349772</v>
      </c>
      <c r="I29" s="240" t="s">
        <v>477</v>
      </c>
      <c r="J29" s="50">
        <v>23482</v>
      </c>
      <c r="K29" s="240" t="s">
        <v>477</v>
      </c>
      <c r="L29" s="240" t="s">
        <v>477</v>
      </c>
      <c r="M29" s="240" t="s">
        <v>477</v>
      </c>
      <c r="N29" s="50">
        <v>33640</v>
      </c>
      <c r="O29" s="390">
        <v>324033</v>
      </c>
    </row>
    <row r="30" spans="1:15" s="14" customFormat="1" ht="5.25" customHeight="1">
      <c r="A30" s="142"/>
      <c r="B30" s="48"/>
      <c r="C30" s="15"/>
      <c r="D30" s="3"/>
      <c r="E30" s="15"/>
      <c r="F30" s="3"/>
      <c r="G30" s="3"/>
      <c r="H30" s="287"/>
      <c r="I30" s="3"/>
      <c r="J30" s="50"/>
      <c r="K30" s="3"/>
      <c r="L30" s="3"/>
      <c r="M30" s="3"/>
      <c r="N30" s="50"/>
      <c r="O30" s="390"/>
    </row>
    <row r="31" spans="1:15" s="24" customFormat="1" ht="16.5" customHeight="1">
      <c r="A31" s="142" t="s">
        <v>487</v>
      </c>
      <c r="B31" s="255" t="s">
        <v>479</v>
      </c>
      <c r="C31" s="15">
        <v>2176107</v>
      </c>
      <c r="D31" s="240" t="s">
        <v>477</v>
      </c>
      <c r="E31" s="15">
        <v>149012</v>
      </c>
      <c r="F31" s="240" t="s">
        <v>477</v>
      </c>
      <c r="G31" s="3">
        <v>2237843</v>
      </c>
      <c r="H31" s="287">
        <v>380416</v>
      </c>
      <c r="I31" s="240" t="s">
        <v>477</v>
      </c>
      <c r="J31" s="50">
        <v>19773</v>
      </c>
      <c r="K31" s="240" t="s">
        <v>477</v>
      </c>
      <c r="L31" s="240" t="s">
        <v>477</v>
      </c>
      <c r="M31" s="240" t="s">
        <v>477</v>
      </c>
      <c r="N31" s="50">
        <v>28740</v>
      </c>
      <c r="O31" s="390">
        <v>288326</v>
      </c>
    </row>
    <row r="32" spans="1:15" s="24" customFormat="1" ht="24" customHeight="1">
      <c r="A32" s="142">
        <v>2006</v>
      </c>
      <c r="B32" s="255" t="s">
        <v>476</v>
      </c>
      <c r="C32" s="4">
        <v>2176107</v>
      </c>
      <c r="D32" s="240" t="s">
        <v>477</v>
      </c>
      <c r="E32" s="15">
        <v>149012</v>
      </c>
      <c r="F32" s="240" t="s">
        <v>477</v>
      </c>
      <c r="G32" s="3">
        <v>2237843</v>
      </c>
      <c r="H32" s="287">
        <v>380416</v>
      </c>
      <c r="I32" s="240" t="s">
        <v>477</v>
      </c>
      <c r="J32" s="50">
        <v>19773</v>
      </c>
      <c r="K32" s="240" t="s">
        <v>477</v>
      </c>
      <c r="L32" s="240" t="s">
        <v>477</v>
      </c>
      <c r="M32" s="240" t="s">
        <v>477</v>
      </c>
      <c r="N32" s="50">
        <v>28740</v>
      </c>
      <c r="O32" s="390">
        <v>288326</v>
      </c>
    </row>
    <row r="33" spans="1:15" s="1" customFormat="1" ht="5.25" customHeight="1">
      <c r="A33" s="142"/>
      <c r="B33" s="48"/>
      <c r="C33" s="15"/>
      <c r="D33" s="3"/>
      <c r="E33" s="15"/>
      <c r="F33" s="3"/>
      <c r="G33" s="3"/>
      <c r="H33" s="287"/>
      <c r="I33" s="3"/>
      <c r="J33" s="50"/>
      <c r="K33" s="3"/>
      <c r="L33" s="3"/>
      <c r="M33" s="3"/>
      <c r="N33" s="50"/>
      <c r="O33" s="390"/>
    </row>
    <row r="34" spans="1:15" s="24" customFormat="1" ht="16.5" customHeight="1">
      <c r="A34" s="142" t="s">
        <v>488</v>
      </c>
      <c r="B34" s="255" t="s">
        <v>479</v>
      </c>
      <c r="C34" s="15">
        <v>2243115</v>
      </c>
      <c r="D34" s="240" t="s">
        <v>477</v>
      </c>
      <c r="E34" s="15">
        <v>125713</v>
      </c>
      <c r="F34" s="240" t="s">
        <v>477</v>
      </c>
      <c r="G34" s="3">
        <v>2322748</v>
      </c>
      <c r="H34" s="287">
        <v>409219</v>
      </c>
      <c r="I34" s="240" t="s">
        <v>477</v>
      </c>
      <c r="J34" s="50">
        <v>21099</v>
      </c>
      <c r="K34" s="240" t="s">
        <v>477</v>
      </c>
      <c r="L34" s="240" t="s">
        <v>477</v>
      </c>
      <c r="M34" s="240" t="s">
        <v>477</v>
      </c>
      <c r="N34" s="50">
        <v>29200</v>
      </c>
      <c r="O34" s="390">
        <v>281114</v>
      </c>
    </row>
    <row r="35" spans="1:15" s="24" customFormat="1" ht="24" customHeight="1">
      <c r="A35" s="142">
        <v>2007</v>
      </c>
      <c r="B35" s="255" t="s">
        <v>476</v>
      </c>
      <c r="C35" s="4">
        <v>2243115</v>
      </c>
      <c r="D35" s="240" t="s">
        <v>477</v>
      </c>
      <c r="E35" s="15">
        <v>125713</v>
      </c>
      <c r="F35" s="240" t="s">
        <v>477</v>
      </c>
      <c r="G35" s="3">
        <v>2322748</v>
      </c>
      <c r="H35" s="287">
        <v>409219</v>
      </c>
      <c r="I35" s="240" t="s">
        <v>477</v>
      </c>
      <c r="J35" s="50">
        <v>21099</v>
      </c>
      <c r="K35" s="240" t="s">
        <v>477</v>
      </c>
      <c r="L35" s="240" t="s">
        <v>477</v>
      </c>
      <c r="M35" s="240" t="s">
        <v>477</v>
      </c>
      <c r="N35" s="50">
        <v>29200</v>
      </c>
      <c r="O35" s="390">
        <v>281114</v>
      </c>
    </row>
    <row r="36" spans="1:15" s="1" customFormat="1" ht="5.25" customHeight="1">
      <c r="A36" s="142"/>
      <c r="B36" s="48"/>
      <c r="C36" s="15"/>
      <c r="D36" s="3"/>
      <c r="E36" s="15"/>
      <c r="F36" s="3"/>
      <c r="G36" s="3"/>
      <c r="H36" s="287"/>
      <c r="I36" s="3"/>
      <c r="J36" s="50"/>
      <c r="K36" s="3"/>
      <c r="L36" s="3"/>
      <c r="M36" s="3"/>
      <c r="N36" s="50"/>
      <c r="O36" s="390"/>
    </row>
    <row r="37" spans="1:15" s="24" customFormat="1" ht="16.5" customHeight="1">
      <c r="A37" s="142" t="s">
        <v>489</v>
      </c>
      <c r="B37" s="255" t="s">
        <v>479</v>
      </c>
      <c r="C37" s="15">
        <f>2220526+53507</f>
        <v>2274033</v>
      </c>
      <c r="D37" s="240" t="s">
        <v>477</v>
      </c>
      <c r="E37" s="15">
        <f>79416+41234</f>
        <v>120650</v>
      </c>
      <c r="F37" s="240" t="s">
        <v>477</v>
      </c>
      <c r="G37" s="3">
        <f>2010398+391611</f>
        <v>2402009</v>
      </c>
      <c r="H37" s="287">
        <v>424591</v>
      </c>
      <c r="I37" s="240" t="s">
        <v>477</v>
      </c>
      <c r="J37" s="50">
        <v>18815</v>
      </c>
      <c r="K37" s="240" t="s">
        <v>477</v>
      </c>
      <c r="L37" s="240" t="s">
        <v>477</v>
      </c>
      <c r="M37" s="240" t="s">
        <v>477</v>
      </c>
      <c r="N37" s="50">
        <v>34901</v>
      </c>
      <c r="O37" s="390">
        <f>125044+151221</f>
        <v>276265</v>
      </c>
    </row>
    <row r="38" spans="1:15" s="24" customFormat="1" ht="24" customHeight="1" thickBot="1">
      <c r="A38" s="63">
        <v>2008</v>
      </c>
      <c r="B38" s="256" t="s">
        <v>476</v>
      </c>
      <c r="C38" s="28">
        <v>2274033</v>
      </c>
      <c r="D38" s="243" t="s">
        <v>477</v>
      </c>
      <c r="E38" s="33">
        <v>120650</v>
      </c>
      <c r="F38" s="243" t="s">
        <v>477</v>
      </c>
      <c r="G38" s="8">
        <v>2402009</v>
      </c>
      <c r="H38" s="391">
        <v>424591</v>
      </c>
      <c r="I38" s="243" t="s">
        <v>477</v>
      </c>
      <c r="J38" s="76">
        <v>18815</v>
      </c>
      <c r="K38" s="243" t="s">
        <v>477</v>
      </c>
      <c r="L38" s="243" t="s">
        <v>477</v>
      </c>
      <c r="M38" s="243" t="s">
        <v>477</v>
      </c>
      <c r="N38" s="76">
        <v>34901</v>
      </c>
      <c r="O38" s="392">
        <v>276265</v>
      </c>
    </row>
    <row r="39" s="14" customFormat="1" ht="13.5">
      <c r="A39" s="66"/>
    </row>
  </sheetData>
  <mergeCells count="7">
    <mergeCell ref="A13:A14"/>
    <mergeCell ref="H2:O2"/>
    <mergeCell ref="H3:O3"/>
    <mergeCell ref="A6:B6"/>
    <mergeCell ref="A5:B5"/>
    <mergeCell ref="A2:G2"/>
    <mergeCell ref="A3:G3"/>
  </mergeCells>
  <printOptions/>
  <pageMargins left="1.141732283464567" right="1.141732283464567" top="1.5748031496062993" bottom="1.535433070866142" header="0.5118110236220472" footer="0.9055118110236221"/>
  <pageSetup firstPageNumber="294"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2.xml><?xml version="1.0" encoding="utf-8"?>
<worksheet xmlns="http://schemas.openxmlformats.org/spreadsheetml/2006/main" xmlns:r="http://schemas.openxmlformats.org/officeDocument/2006/relationships">
  <sheetPr>
    <tabColor indexed="17"/>
  </sheetPr>
  <dimension ref="A1:O46"/>
  <sheetViews>
    <sheetView showGridLines="0" zoomScale="120" zoomScaleNormal="120" workbookViewId="0" topLeftCell="A1">
      <selection activeCell="A1" sqref="A1"/>
    </sheetView>
  </sheetViews>
  <sheetFormatPr defaultColWidth="9.00390625" defaultRowHeight="16.5"/>
  <cols>
    <col min="1" max="1" width="18.625" style="13" customWidth="1"/>
    <col min="2" max="3" width="8.125" style="13" customWidth="1"/>
    <col min="4" max="5" width="10.625" style="13" customWidth="1"/>
    <col min="6" max="6" width="9.625" style="13" customWidth="1"/>
    <col min="7" max="7" width="10.125" style="13" customWidth="1"/>
    <col min="8" max="8" width="9.625" style="13" customWidth="1"/>
    <col min="9" max="9" width="8.625" style="13" customWidth="1"/>
    <col min="10" max="10" width="8.125" style="13" customWidth="1"/>
    <col min="11" max="11" width="8.625" style="13" customWidth="1"/>
    <col min="12" max="12" width="12.625" style="13" customWidth="1"/>
    <col min="13" max="13" width="8.125" style="13" customWidth="1"/>
    <col min="14" max="14" width="11.625" style="13" customWidth="1"/>
    <col min="15" max="15" width="8.625" style="13" customWidth="1"/>
    <col min="16" max="16384" width="9.00390625" style="13" customWidth="1"/>
  </cols>
  <sheetData>
    <row r="1" spans="1:15" s="14" customFormat="1" ht="18" customHeight="1">
      <c r="A1" s="177" t="s">
        <v>823</v>
      </c>
      <c r="O1" s="49" t="s">
        <v>833</v>
      </c>
    </row>
    <row r="2" spans="1:15" s="16" customFormat="1" ht="24.75" customHeight="1">
      <c r="A2" s="434" t="s">
        <v>506</v>
      </c>
      <c r="B2" s="433"/>
      <c r="C2" s="433"/>
      <c r="D2" s="433"/>
      <c r="E2" s="433"/>
      <c r="F2" s="433"/>
      <c r="G2" s="433"/>
      <c r="H2" s="433" t="s">
        <v>507</v>
      </c>
      <c r="I2" s="433"/>
      <c r="J2" s="433"/>
      <c r="K2" s="433"/>
      <c r="L2" s="433"/>
      <c r="M2" s="433"/>
      <c r="N2" s="433"/>
      <c r="O2" s="433"/>
    </row>
    <row r="3" spans="1:15" s="52" customFormat="1" ht="15" customHeight="1" thickBot="1">
      <c r="A3" s="53"/>
      <c r="B3" s="54"/>
      <c r="C3" s="54"/>
      <c r="D3" s="55"/>
      <c r="E3" s="55"/>
      <c r="F3" s="54"/>
      <c r="G3" s="214" t="s">
        <v>512</v>
      </c>
      <c r="H3" s="54"/>
      <c r="I3" s="54"/>
      <c r="J3" s="54"/>
      <c r="K3" s="54"/>
      <c r="L3" s="54"/>
      <c r="M3" s="54"/>
      <c r="O3" s="63" t="s">
        <v>513</v>
      </c>
    </row>
    <row r="4" spans="1:15" s="56" customFormat="1" ht="27.75" customHeight="1">
      <c r="A4" s="246" t="s">
        <v>529</v>
      </c>
      <c r="B4" s="247" t="s">
        <v>898</v>
      </c>
      <c r="C4" s="248" t="s">
        <v>860</v>
      </c>
      <c r="D4" s="248" t="s">
        <v>861</v>
      </c>
      <c r="E4" s="248" t="s">
        <v>862</v>
      </c>
      <c r="F4" s="248" t="s">
        <v>899</v>
      </c>
      <c r="G4" s="248" t="s">
        <v>900</v>
      </c>
      <c r="H4" s="247" t="s">
        <v>901</v>
      </c>
      <c r="I4" s="248" t="s">
        <v>902</v>
      </c>
      <c r="J4" s="248" t="s">
        <v>903</v>
      </c>
      <c r="K4" s="248" t="s">
        <v>904</v>
      </c>
      <c r="L4" s="248" t="s">
        <v>905</v>
      </c>
      <c r="M4" s="248" t="s">
        <v>906</v>
      </c>
      <c r="N4" s="248" t="s">
        <v>907</v>
      </c>
      <c r="O4" s="249" t="s">
        <v>908</v>
      </c>
    </row>
    <row r="5" spans="1:15" s="56" customFormat="1" ht="37.5" customHeight="1" thickBot="1">
      <c r="A5" s="46" t="s">
        <v>909</v>
      </c>
      <c r="B5" s="57" t="s">
        <v>910</v>
      </c>
      <c r="C5" s="58" t="s">
        <v>863</v>
      </c>
      <c r="D5" s="58" t="s">
        <v>864</v>
      </c>
      <c r="E5" s="58" t="s">
        <v>865</v>
      </c>
      <c r="F5" s="58" t="s">
        <v>911</v>
      </c>
      <c r="G5" s="58" t="s">
        <v>497</v>
      </c>
      <c r="H5" s="57" t="s">
        <v>498</v>
      </c>
      <c r="I5" s="58" t="s">
        <v>499</v>
      </c>
      <c r="J5" s="58" t="s">
        <v>500</v>
      </c>
      <c r="K5" s="58" t="s">
        <v>501</v>
      </c>
      <c r="L5" s="58" t="s">
        <v>502</v>
      </c>
      <c r="M5" s="58" t="s">
        <v>503</v>
      </c>
      <c r="N5" s="58" t="s">
        <v>504</v>
      </c>
      <c r="O5" s="59" t="s">
        <v>505</v>
      </c>
    </row>
    <row r="6" spans="1:15" s="52" customFormat="1" ht="15.75" customHeight="1">
      <c r="A6" s="492" t="s">
        <v>530</v>
      </c>
      <c r="B6" s="9">
        <f>SUM(C6:O6)</f>
        <v>286</v>
      </c>
      <c r="C6" s="3">
        <v>164</v>
      </c>
      <c r="D6" s="3">
        <v>1</v>
      </c>
      <c r="E6" s="3">
        <v>5</v>
      </c>
      <c r="F6" s="3">
        <v>10</v>
      </c>
      <c r="G6" s="3">
        <v>84</v>
      </c>
      <c r="H6" s="9">
        <v>1</v>
      </c>
      <c r="I6" s="3">
        <v>4</v>
      </c>
      <c r="J6" s="240" t="s">
        <v>897</v>
      </c>
      <c r="K6" s="3">
        <v>6</v>
      </c>
      <c r="L6" s="3">
        <v>11</v>
      </c>
      <c r="M6" s="240" t="s">
        <v>897</v>
      </c>
      <c r="N6" s="240" t="s">
        <v>897</v>
      </c>
      <c r="O6" s="241" t="s">
        <v>897</v>
      </c>
    </row>
    <row r="7" spans="1:15" s="52" customFormat="1" ht="15.75" customHeight="1">
      <c r="A7" s="493" t="s">
        <v>531</v>
      </c>
      <c r="B7" s="9">
        <f>SUM(C7:O7)</f>
        <v>314</v>
      </c>
      <c r="C7" s="3">
        <v>186</v>
      </c>
      <c r="D7" s="3">
        <v>2</v>
      </c>
      <c r="E7" s="3">
        <v>4</v>
      </c>
      <c r="F7" s="3">
        <v>10</v>
      </c>
      <c r="G7" s="3">
        <v>86</v>
      </c>
      <c r="H7" s="9">
        <v>1</v>
      </c>
      <c r="I7" s="3">
        <v>7</v>
      </c>
      <c r="J7" s="240" t="s">
        <v>822</v>
      </c>
      <c r="K7" s="3">
        <v>6</v>
      </c>
      <c r="L7" s="3">
        <v>12</v>
      </c>
      <c r="M7" s="240" t="s">
        <v>822</v>
      </c>
      <c r="N7" s="240" t="s">
        <v>822</v>
      </c>
      <c r="O7" s="241" t="s">
        <v>822</v>
      </c>
    </row>
    <row r="8" spans="1:15" s="52" customFormat="1" ht="15.75" customHeight="1">
      <c r="A8" s="493" t="s">
        <v>532</v>
      </c>
      <c r="B8" s="9">
        <f>SUM(C8:O8)</f>
        <v>320</v>
      </c>
      <c r="C8" s="3">
        <v>193</v>
      </c>
      <c r="D8" s="3">
        <v>2</v>
      </c>
      <c r="E8" s="3">
        <v>4</v>
      </c>
      <c r="F8" s="3">
        <v>10</v>
      </c>
      <c r="G8" s="3">
        <v>85</v>
      </c>
      <c r="H8" s="9">
        <v>1</v>
      </c>
      <c r="I8" s="3">
        <v>7</v>
      </c>
      <c r="J8" s="240" t="s">
        <v>822</v>
      </c>
      <c r="K8" s="3">
        <v>6</v>
      </c>
      <c r="L8" s="3">
        <v>12</v>
      </c>
      <c r="M8" s="240" t="s">
        <v>822</v>
      </c>
      <c r="N8" s="240" t="s">
        <v>822</v>
      </c>
      <c r="O8" s="241" t="s">
        <v>822</v>
      </c>
    </row>
    <row r="9" spans="1:15" s="52" customFormat="1" ht="3.75" customHeight="1">
      <c r="A9" s="163"/>
      <c r="B9" s="9"/>
      <c r="C9" s="3"/>
      <c r="D9" s="3"/>
      <c r="E9" s="3"/>
      <c r="F9" s="3"/>
      <c r="G9" s="3"/>
      <c r="H9" s="9"/>
      <c r="I9" s="3"/>
      <c r="J9" s="3"/>
      <c r="K9" s="3"/>
      <c r="L9" s="3"/>
      <c r="M9" s="3"/>
      <c r="N9" s="3"/>
      <c r="O9" s="4"/>
    </row>
    <row r="10" spans="1:15" s="52" customFormat="1" ht="15.75" customHeight="1">
      <c r="A10" s="493" t="s">
        <v>533</v>
      </c>
      <c r="B10" s="9">
        <f>SUM(C10:O10)</f>
        <v>332</v>
      </c>
      <c r="C10" s="3">
        <v>216</v>
      </c>
      <c r="D10" s="3">
        <v>2</v>
      </c>
      <c r="E10" s="3">
        <v>3</v>
      </c>
      <c r="F10" s="3">
        <v>11</v>
      </c>
      <c r="G10" s="3">
        <v>75</v>
      </c>
      <c r="H10" s="9">
        <v>1</v>
      </c>
      <c r="I10" s="3">
        <v>6</v>
      </c>
      <c r="J10" s="240" t="s">
        <v>822</v>
      </c>
      <c r="K10" s="3">
        <v>6</v>
      </c>
      <c r="L10" s="3">
        <v>12</v>
      </c>
      <c r="M10" s="240" t="s">
        <v>822</v>
      </c>
      <c r="N10" s="240" t="s">
        <v>822</v>
      </c>
      <c r="O10" s="241" t="s">
        <v>822</v>
      </c>
    </row>
    <row r="11" spans="1:15" s="52" customFormat="1" ht="15.75" customHeight="1">
      <c r="A11" s="493" t="s">
        <v>534</v>
      </c>
      <c r="B11" s="9">
        <f>SUM(C11:O11)</f>
        <v>339</v>
      </c>
      <c r="C11" s="3">
        <v>222</v>
      </c>
      <c r="D11" s="3">
        <v>2</v>
      </c>
      <c r="E11" s="3">
        <v>3</v>
      </c>
      <c r="F11" s="3">
        <v>11</v>
      </c>
      <c r="G11" s="3">
        <v>74</v>
      </c>
      <c r="H11" s="9">
        <v>1</v>
      </c>
      <c r="I11" s="3">
        <v>6</v>
      </c>
      <c r="J11" s="240" t="s">
        <v>822</v>
      </c>
      <c r="K11" s="3">
        <v>6</v>
      </c>
      <c r="L11" s="3">
        <v>14</v>
      </c>
      <c r="M11" s="240" t="s">
        <v>822</v>
      </c>
      <c r="N11" s="240" t="s">
        <v>822</v>
      </c>
      <c r="O11" s="241" t="s">
        <v>822</v>
      </c>
    </row>
    <row r="12" spans="1:15" s="52" customFormat="1" ht="15.75" customHeight="1">
      <c r="A12" s="493" t="s">
        <v>535</v>
      </c>
      <c r="B12" s="9">
        <f>SUM(C12:O12)</f>
        <v>356</v>
      </c>
      <c r="C12" s="3">
        <v>234</v>
      </c>
      <c r="D12" s="3">
        <v>2</v>
      </c>
      <c r="E12" s="3">
        <v>3</v>
      </c>
      <c r="F12" s="3">
        <v>11</v>
      </c>
      <c r="G12" s="3">
        <v>74</v>
      </c>
      <c r="H12" s="9">
        <v>1</v>
      </c>
      <c r="I12" s="3">
        <v>6</v>
      </c>
      <c r="J12" s="240" t="s">
        <v>851</v>
      </c>
      <c r="K12" s="3">
        <v>9</v>
      </c>
      <c r="L12" s="3">
        <v>16</v>
      </c>
      <c r="M12" s="240" t="s">
        <v>851</v>
      </c>
      <c r="N12" s="240" t="s">
        <v>851</v>
      </c>
      <c r="O12" s="241" t="s">
        <v>851</v>
      </c>
    </row>
    <row r="13" spans="1:15" s="52" customFormat="1" ht="3.75" customHeight="1">
      <c r="A13" s="163"/>
      <c r="B13" s="9"/>
      <c r="C13" s="3"/>
      <c r="D13" s="3"/>
      <c r="E13" s="3"/>
      <c r="F13" s="3"/>
      <c r="G13" s="3"/>
      <c r="H13" s="9"/>
      <c r="I13" s="3"/>
      <c r="J13" s="3"/>
      <c r="K13" s="3"/>
      <c r="L13" s="3"/>
      <c r="M13" s="3"/>
      <c r="N13" s="3"/>
      <c r="O13" s="4"/>
    </row>
    <row r="14" spans="1:15" s="52" customFormat="1" ht="15.75" customHeight="1">
      <c r="A14" s="493" t="s">
        <v>536</v>
      </c>
      <c r="B14" s="9">
        <f>SUM(C14:O14)</f>
        <v>361</v>
      </c>
      <c r="C14" s="3">
        <v>239</v>
      </c>
      <c r="D14" s="3">
        <v>2</v>
      </c>
      <c r="E14" s="3">
        <v>2</v>
      </c>
      <c r="F14" s="3">
        <v>11</v>
      </c>
      <c r="G14" s="3">
        <v>74</v>
      </c>
      <c r="H14" s="9">
        <v>1</v>
      </c>
      <c r="I14" s="3">
        <v>6</v>
      </c>
      <c r="J14" s="240" t="s">
        <v>851</v>
      </c>
      <c r="K14" s="3">
        <v>9</v>
      </c>
      <c r="L14" s="3">
        <v>17</v>
      </c>
      <c r="M14" s="240" t="s">
        <v>851</v>
      </c>
      <c r="N14" s="240" t="s">
        <v>851</v>
      </c>
      <c r="O14" s="241" t="s">
        <v>851</v>
      </c>
    </row>
    <row r="15" spans="1:15" s="52" customFormat="1" ht="15.75" customHeight="1">
      <c r="A15" s="493" t="s">
        <v>537</v>
      </c>
      <c r="B15" s="9">
        <f>SUM(C15:O15)</f>
        <v>358</v>
      </c>
      <c r="C15" s="3">
        <v>236</v>
      </c>
      <c r="D15" s="3">
        <v>2</v>
      </c>
      <c r="E15" s="3">
        <v>2</v>
      </c>
      <c r="F15" s="3">
        <v>11</v>
      </c>
      <c r="G15" s="3">
        <v>74</v>
      </c>
      <c r="H15" s="9">
        <v>1</v>
      </c>
      <c r="I15" s="3">
        <v>6</v>
      </c>
      <c r="J15" s="240" t="s">
        <v>851</v>
      </c>
      <c r="K15" s="3">
        <v>9</v>
      </c>
      <c r="L15" s="3">
        <v>17</v>
      </c>
      <c r="M15" s="240" t="s">
        <v>851</v>
      </c>
      <c r="N15" s="240" t="s">
        <v>851</v>
      </c>
      <c r="O15" s="241" t="s">
        <v>851</v>
      </c>
    </row>
    <row r="16" spans="1:15" s="52" customFormat="1" ht="15.75" customHeight="1">
      <c r="A16" s="493" t="s">
        <v>538</v>
      </c>
      <c r="B16" s="9">
        <f>SUM(C16:O16)</f>
        <v>357</v>
      </c>
      <c r="C16" s="3">
        <v>238</v>
      </c>
      <c r="D16" s="3">
        <v>2</v>
      </c>
      <c r="E16" s="3">
        <v>2</v>
      </c>
      <c r="F16" s="3">
        <v>11</v>
      </c>
      <c r="G16" s="3">
        <v>72</v>
      </c>
      <c r="H16" s="9">
        <v>1</v>
      </c>
      <c r="I16" s="3">
        <v>5</v>
      </c>
      <c r="J16" s="240" t="s">
        <v>851</v>
      </c>
      <c r="K16" s="3">
        <v>9</v>
      </c>
      <c r="L16" s="3">
        <v>17</v>
      </c>
      <c r="M16" s="240" t="s">
        <v>851</v>
      </c>
      <c r="N16" s="240" t="s">
        <v>851</v>
      </c>
      <c r="O16" s="241" t="s">
        <v>851</v>
      </c>
    </row>
    <row r="17" spans="1:15" s="52" customFormat="1" ht="3.75" customHeight="1">
      <c r="A17" s="163"/>
      <c r="B17" s="9"/>
      <c r="C17" s="3"/>
      <c r="D17" s="3"/>
      <c r="E17" s="3"/>
      <c r="F17" s="3"/>
      <c r="G17" s="3"/>
      <c r="H17" s="9"/>
      <c r="I17" s="3"/>
      <c r="J17" s="3"/>
      <c r="K17" s="3"/>
      <c r="L17" s="3"/>
      <c r="M17" s="3"/>
      <c r="N17" s="3"/>
      <c r="O17" s="4"/>
    </row>
    <row r="18" spans="1:15" s="52" customFormat="1" ht="15.75" customHeight="1">
      <c r="A18" s="493" t="s">
        <v>539</v>
      </c>
      <c r="B18" s="9">
        <f>SUM(C18:O18)</f>
        <v>366</v>
      </c>
      <c r="C18" s="3">
        <f>SUM(C20:C36)</f>
        <v>246</v>
      </c>
      <c r="D18" s="3">
        <f aca="true" t="shared" si="0" ref="D18:L18">SUM(D20:D36)</f>
        <v>3</v>
      </c>
      <c r="E18" s="3">
        <f t="shared" si="0"/>
        <v>1</v>
      </c>
      <c r="F18" s="3">
        <f t="shared" si="0"/>
        <v>11</v>
      </c>
      <c r="G18" s="3">
        <f t="shared" si="0"/>
        <v>73</v>
      </c>
      <c r="H18" s="9">
        <f t="shared" si="0"/>
        <v>1</v>
      </c>
      <c r="I18" s="3">
        <f t="shared" si="0"/>
        <v>5</v>
      </c>
      <c r="J18" s="240" t="s">
        <v>822</v>
      </c>
      <c r="K18" s="3">
        <f t="shared" si="0"/>
        <v>9</v>
      </c>
      <c r="L18" s="3">
        <f t="shared" si="0"/>
        <v>17</v>
      </c>
      <c r="M18" s="240" t="s">
        <v>822</v>
      </c>
      <c r="N18" s="240" t="s">
        <v>822</v>
      </c>
      <c r="O18" s="241" t="s">
        <v>822</v>
      </c>
    </row>
    <row r="19" spans="1:15" s="52" customFormat="1" ht="3.75" customHeight="1">
      <c r="A19" s="163"/>
      <c r="B19" s="9"/>
      <c r="C19" s="3"/>
      <c r="D19" s="3"/>
      <c r="E19" s="3"/>
      <c r="F19" s="3"/>
      <c r="G19" s="3"/>
      <c r="H19" s="9"/>
      <c r="I19" s="3"/>
      <c r="J19" s="3"/>
      <c r="K19" s="3"/>
      <c r="L19" s="3"/>
      <c r="M19" s="3"/>
      <c r="N19" s="3"/>
      <c r="O19" s="4"/>
    </row>
    <row r="20" spans="1:15" s="52" customFormat="1" ht="15.75" customHeight="1">
      <c r="A20" s="494" t="s">
        <v>540</v>
      </c>
      <c r="B20" s="9">
        <f>SUM(C20:O20)</f>
        <v>117</v>
      </c>
      <c r="C20" s="3">
        <v>78</v>
      </c>
      <c r="D20" s="3">
        <v>3</v>
      </c>
      <c r="E20" s="240" t="s">
        <v>822</v>
      </c>
      <c r="F20" s="3">
        <v>8</v>
      </c>
      <c r="G20" s="3">
        <v>7</v>
      </c>
      <c r="H20" s="242" t="s">
        <v>822</v>
      </c>
      <c r="I20" s="3">
        <v>5</v>
      </c>
      <c r="J20" s="240" t="s">
        <v>822</v>
      </c>
      <c r="K20" s="3">
        <v>4</v>
      </c>
      <c r="L20" s="3">
        <v>12</v>
      </c>
      <c r="M20" s="240" t="s">
        <v>822</v>
      </c>
      <c r="N20" s="240" t="s">
        <v>822</v>
      </c>
      <c r="O20" s="241" t="s">
        <v>822</v>
      </c>
    </row>
    <row r="21" spans="1:15" s="52" customFormat="1" ht="3.75" customHeight="1">
      <c r="A21" s="495"/>
      <c r="B21" s="9"/>
      <c r="C21" s="3"/>
      <c r="D21" s="3"/>
      <c r="E21" s="3"/>
      <c r="F21" s="3"/>
      <c r="G21" s="3"/>
      <c r="H21" s="9"/>
      <c r="I21" s="3"/>
      <c r="J21" s="3"/>
      <c r="K21" s="3"/>
      <c r="L21" s="3"/>
      <c r="M21" s="3"/>
      <c r="N21" s="3"/>
      <c r="O21" s="4"/>
    </row>
    <row r="22" spans="1:15" s="52" customFormat="1" ht="15.75" customHeight="1">
      <c r="A22" s="494" t="s">
        <v>541</v>
      </c>
      <c r="B22" s="9">
        <f>SUM(C22:O22)</f>
        <v>75</v>
      </c>
      <c r="C22" s="3">
        <v>66</v>
      </c>
      <c r="D22" s="240" t="s">
        <v>822</v>
      </c>
      <c r="E22" s="3">
        <v>1</v>
      </c>
      <c r="F22" s="240" t="s">
        <v>822</v>
      </c>
      <c r="G22" s="3">
        <v>2</v>
      </c>
      <c r="H22" s="242" t="s">
        <v>822</v>
      </c>
      <c r="I22" s="240" t="s">
        <v>822</v>
      </c>
      <c r="J22" s="240" t="s">
        <v>822</v>
      </c>
      <c r="K22" s="3">
        <v>2</v>
      </c>
      <c r="L22" s="3">
        <v>4</v>
      </c>
      <c r="M22" s="240" t="s">
        <v>822</v>
      </c>
      <c r="N22" s="240" t="s">
        <v>822</v>
      </c>
      <c r="O22" s="241" t="s">
        <v>822</v>
      </c>
    </row>
    <row r="23" spans="1:15" s="52" customFormat="1" ht="15.75" customHeight="1">
      <c r="A23" s="494" t="s">
        <v>542</v>
      </c>
      <c r="B23" s="9">
        <f>SUM(C23:O23)</f>
        <v>18</v>
      </c>
      <c r="C23" s="3">
        <v>10</v>
      </c>
      <c r="D23" s="240" t="s">
        <v>822</v>
      </c>
      <c r="E23" s="240" t="s">
        <v>822</v>
      </c>
      <c r="F23" s="240" t="s">
        <v>822</v>
      </c>
      <c r="G23" s="3">
        <v>5</v>
      </c>
      <c r="H23" s="242" t="s">
        <v>822</v>
      </c>
      <c r="I23" s="240" t="s">
        <v>822</v>
      </c>
      <c r="J23" s="240" t="s">
        <v>822</v>
      </c>
      <c r="K23" s="3">
        <v>2</v>
      </c>
      <c r="L23" s="3">
        <v>1</v>
      </c>
      <c r="M23" s="240" t="s">
        <v>822</v>
      </c>
      <c r="N23" s="240" t="s">
        <v>822</v>
      </c>
      <c r="O23" s="241" t="s">
        <v>822</v>
      </c>
    </row>
    <row r="24" spans="1:15" s="52" customFormat="1" ht="15.75" customHeight="1">
      <c r="A24" s="494" t="s">
        <v>543</v>
      </c>
      <c r="B24" s="9">
        <f>SUM(C24:O24)</f>
        <v>24</v>
      </c>
      <c r="C24" s="3">
        <v>16</v>
      </c>
      <c r="D24" s="240" t="s">
        <v>822</v>
      </c>
      <c r="E24" s="240" t="s">
        <v>822</v>
      </c>
      <c r="F24" s="3">
        <v>1</v>
      </c>
      <c r="G24" s="3">
        <v>7</v>
      </c>
      <c r="H24" s="242" t="s">
        <v>822</v>
      </c>
      <c r="I24" s="240" t="s">
        <v>822</v>
      </c>
      <c r="J24" s="240" t="s">
        <v>822</v>
      </c>
      <c r="K24" s="240" t="s">
        <v>822</v>
      </c>
      <c r="L24" s="240" t="s">
        <v>822</v>
      </c>
      <c r="M24" s="240" t="s">
        <v>822</v>
      </c>
      <c r="N24" s="240" t="s">
        <v>822</v>
      </c>
      <c r="O24" s="241" t="s">
        <v>822</v>
      </c>
    </row>
    <row r="25" spans="1:15" s="52" customFormat="1" ht="3.75" customHeight="1">
      <c r="A25" s="495"/>
      <c r="B25" s="9"/>
      <c r="C25" s="3"/>
      <c r="D25" s="3"/>
      <c r="E25" s="3"/>
      <c r="F25" s="3"/>
      <c r="G25" s="3"/>
      <c r="H25" s="9"/>
      <c r="I25" s="3"/>
      <c r="J25" s="3"/>
      <c r="K25" s="3"/>
      <c r="L25" s="3"/>
      <c r="M25" s="3"/>
      <c r="N25" s="3"/>
      <c r="O25" s="4"/>
    </row>
    <row r="26" spans="1:15" s="52" customFormat="1" ht="15.75" customHeight="1">
      <c r="A26" s="494" t="s">
        <v>544</v>
      </c>
      <c r="B26" s="9">
        <f>SUM(C26:O26)</f>
        <v>15</v>
      </c>
      <c r="C26" s="3">
        <v>6</v>
      </c>
      <c r="D26" s="240" t="s">
        <v>822</v>
      </c>
      <c r="E26" s="240" t="s">
        <v>822</v>
      </c>
      <c r="F26" s="240" t="s">
        <v>822</v>
      </c>
      <c r="G26" s="3">
        <v>9</v>
      </c>
      <c r="H26" s="242" t="s">
        <v>822</v>
      </c>
      <c r="I26" s="240" t="s">
        <v>822</v>
      </c>
      <c r="J26" s="240" t="s">
        <v>822</v>
      </c>
      <c r="K26" s="240" t="s">
        <v>822</v>
      </c>
      <c r="L26" s="240" t="s">
        <v>822</v>
      </c>
      <c r="M26" s="240" t="s">
        <v>822</v>
      </c>
      <c r="N26" s="240" t="s">
        <v>822</v>
      </c>
      <c r="O26" s="241" t="s">
        <v>822</v>
      </c>
    </row>
    <row r="27" spans="1:15" s="52" customFormat="1" ht="15.75" customHeight="1">
      <c r="A27" s="494" t="s">
        <v>545</v>
      </c>
      <c r="B27" s="9">
        <f>SUM(C27:O27)</f>
        <v>15</v>
      </c>
      <c r="C27" s="3">
        <v>10</v>
      </c>
      <c r="D27" s="240" t="s">
        <v>822</v>
      </c>
      <c r="E27" s="240" t="s">
        <v>822</v>
      </c>
      <c r="F27" s="240" t="s">
        <v>822</v>
      </c>
      <c r="G27" s="3">
        <v>5</v>
      </c>
      <c r="H27" s="242" t="s">
        <v>822</v>
      </c>
      <c r="I27" s="240" t="s">
        <v>822</v>
      </c>
      <c r="J27" s="240" t="s">
        <v>822</v>
      </c>
      <c r="K27" s="240" t="s">
        <v>822</v>
      </c>
      <c r="L27" s="240" t="s">
        <v>822</v>
      </c>
      <c r="M27" s="240" t="s">
        <v>822</v>
      </c>
      <c r="N27" s="240" t="s">
        <v>822</v>
      </c>
      <c r="O27" s="241" t="s">
        <v>822</v>
      </c>
    </row>
    <row r="28" spans="1:15" s="52" customFormat="1" ht="15.75" customHeight="1">
      <c r="A28" s="494" t="s">
        <v>546</v>
      </c>
      <c r="B28" s="9">
        <f>SUM(C28:O28)</f>
        <v>29</v>
      </c>
      <c r="C28" s="3">
        <v>16</v>
      </c>
      <c r="D28" s="240" t="s">
        <v>822</v>
      </c>
      <c r="E28" s="240" t="s">
        <v>822</v>
      </c>
      <c r="F28" s="3">
        <v>2</v>
      </c>
      <c r="G28" s="3">
        <v>10</v>
      </c>
      <c r="H28" s="242" t="s">
        <v>822</v>
      </c>
      <c r="I28" s="240" t="s">
        <v>822</v>
      </c>
      <c r="J28" s="240" t="s">
        <v>822</v>
      </c>
      <c r="K28" s="3">
        <v>1</v>
      </c>
      <c r="L28" s="240" t="s">
        <v>822</v>
      </c>
      <c r="M28" s="240" t="s">
        <v>822</v>
      </c>
      <c r="N28" s="240" t="s">
        <v>822</v>
      </c>
      <c r="O28" s="241" t="s">
        <v>822</v>
      </c>
    </row>
    <row r="29" spans="1:15" s="52" customFormat="1" ht="3.75" customHeight="1">
      <c r="A29" s="495"/>
      <c r="B29" s="9"/>
      <c r="C29" s="3"/>
      <c r="D29" s="3"/>
      <c r="E29" s="3"/>
      <c r="F29" s="3"/>
      <c r="G29" s="3"/>
      <c r="H29" s="9"/>
      <c r="I29" s="3"/>
      <c r="J29" s="3"/>
      <c r="K29" s="3"/>
      <c r="L29" s="3"/>
      <c r="M29" s="3"/>
      <c r="N29" s="3"/>
      <c r="O29" s="4"/>
    </row>
    <row r="30" spans="1:15" s="52" customFormat="1" ht="15.75" customHeight="1">
      <c r="A30" s="494" t="s">
        <v>547</v>
      </c>
      <c r="B30" s="9">
        <f>SUM(C30:O30)</f>
        <v>15</v>
      </c>
      <c r="C30" s="3">
        <v>7</v>
      </c>
      <c r="D30" s="240" t="s">
        <v>822</v>
      </c>
      <c r="E30" s="240" t="s">
        <v>822</v>
      </c>
      <c r="F30" s="240" t="s">
        <v>822</v>
      </c>
      <c r="G30" s="3">
        <v>7</v>
      </c>
      <c r="H30" s="9">
        <v>1</v>
      </c>
      <c r="I30" s="240" t="s">
        <v>822</v>
      </c>
      <c r="J30" s="240" t="s">
        <v>822</v>
      </c>
      <c r="K30" s="240" t="s">
        <v>822</v>
      </c>
      <c r="L30" s="240" t="s">
        <v>822</v>
      </c>
      <c r="M30" s="240" t="s">
        <v>822</v>
      </c>
      <c r="N30" s="240" t="s">
        <v>822</v>
      </c>
      <c r="O30" s="241" t="s">
        <v>822</v>
      </c>
    </row>
    <row r="31" spans="1:15" s="52" customFormat="1" ht="15.75" customHeight="1">
      <c r="A31" s="494" t="s">
        <v>548</v>
      </c>
      <c r="B31" s="9">
        <f>SUM(C31:O31)</f>
        <v>30</v>
      </c>
      <c r="C31" s="3">
        <v>20</v>
      </c>
      <c r="D31" s="240" t="s">
        <v>822</v>
      </c>
      <c r="E31" s="240" t="s">
        <v>822</v>
      </c>
      <c r="F31" s="240" t="s">
        <v>822</v>
      </c>
      <c r="G31" s="3">
        <v>10</v>
      </c>
      <c r="H31" s="242" t="s">
        <v>822</v>
      </c>
      <c r="I31" s="240" t="s">
        <v>822</v>
      </c>
      <c r="J31" s="240" t="s">
        <v>822</v>
      </c>
      <c r="K31" s="240" t="s">
        <v>822</v>
      </c>
      <c r="L31" s="240" t="s">
        <v>822</v>
      </c>
      <c r="M31" s="240" t="s">
        <v>822</v>
      </c>
      <c r="N31" s="240" t="s">
        <v>822</v>
      </c>
      <c r="O31" s="241" t="s">
        <v>822</v>
      </c>
    </row>
    <row r="32" spans="1:15" s="52" customFormat="1" ht="15.75" customHeight="1">
      <c r="A32" s="494" t="s">
        <v>549</v>
      </c>
      <c r="B32" s="9">
        <f>SUM(C32:O32)</f>
        <v>16</v>
      </c>
      <c r="C32" s="3">
        <v>11</v>
      </c>
      <c r="D32" s="240" t="s">
        <v>822</v>
      </c>
      <c r="E32" s="240" t="s">
        <v>822</v>
      </c>
      <c r="F32" s="240" t="s">
        <v>822</v>
      </c>
      <c r="G32" s="3">
        <v>5</v>
      </c>
      <c r="H32" s="242" t="s">
        <v>822</v>
      </c>
      <c r="I32" s="240" t="s">
        <v>822</v>
      </c>
      <c r="J32" s="240" t="s">
        <v>822</v>
      </c>
      <c r="K32" s="240" t="s">
        <v>822</v>
      </c>
      <c r="L32" s="240" t="s">
        <v>822</v>
      </c>
      <c r="M32" s="240" t="s">
        <v>822</v>
      </c>
      <c r="N32" s="240" t="s">
        <v>822</v>
      </c>
      <c r="O32" s="241" t="s">
        <v>822</v>
      </c>
    </row>
    <row r="33" spans="1:15" s="52" customFormat="1" ht="3.75" customHeight="1">
      <c r="A33" s="495"/>
      <c r="B33" s="9"/>
      <c r="C33" s="3"/>
      <c r="D33" s="3"/>
      <c r="E33" s="3"/>
      <c r="F33" s="3"/>
      <c r="G33" s="3"/>
      <c r="H33" s="9"/>
      <c r="I33" s="3"/>
      <c r="J33" s="3"/>
      <c r="K33" s="3"/>
      <c r="L33" s="3"/>
      <c r="M33" s="3"/>
      <c r="N33" s="3"/>
      <c r="O33" s="4"/>
    </row>
    <row r="34" spans="1:15" s="52" customFormat="1" ht="15.75" customHeight="1">
      <c r="A34" s="494" t="s">
        <v>550</v>
      </c>
      <c r="B34" s="9">
        <f>SUM(C34:O34)</f>
        <v>6</v>
      </c>
      <c r="C34" s="3">
        <v>2</v>
      </c>
      <c r="D34" s="240" t="s">
        <v>822</v>
      </c>
      <c r="E34" s="240" t="s">
        <v>822</v>
      </c>
      <c r="F34" s="240" t="s">
        <v>822</v>
      </c>
      <c r="G34" s="3">
        <v>4</v>
      </c>
      <c r="H34" s="242" t="s">
        <v>822</v>
      </c>
      <c r="I34" s="240" t="s">
        <v>822</v>
      </c>
      <c r="J34" s="240" t="s">
        <v>822</v>
      </c>
      <c r="K34" s="240" t="s">
        <v>822</v>
      </c>
      <c r="L34" s="240" t="s">
        <v>822</v>
      </c>
      <c r="M34" s="240" t="s">
        <v>822</v>
      </c>
      <c r="N34" s="240" t="s">
        <v>822</v>
      </c>
      <c r="O34" s="241" t="s">
        <v>822</v>
      </c>
    </row>
    <row r="35" spans="1:15" s="52" customFormat="1" ht="15.75" customHeight="1">
      <c r="A35" s="494" t="s">
        <v>551</v>
      </c>
      <c r="B35" s="9">
        <f>SUM(C35:O35)</f>
        <v>4</v>
      </c>
      <c r="C35" s="3">
        <v>4</v>
      </c>
      <c r="D35" s="240" t="s">
        <v>822</v>
      </c>
      <c r="E35" s="240" t="s">
        <v>822</v>
      </c>
      <c r="F35" s="240" t="s">
        <v>822</v>
      </c>
      <c r="G35" s="240" t="s">
        <v>822</v>
      </c>
      <c r="H35" s="242" t="s">
        <v>822</v>
      </c>
      <c r="I35" s="240" t="s">
        <v>822</v>
      </c>
      <c r="J35" s="240" t="s">
        <v>822</v>
      </c>
      <c r="K35" s="240" t="s">
        <v>822</v>
      </c>
      <c r="L35" s="240" t="s">
        <v>822</v>
      </c>
      <c r="M35" s="240" t="s">
        <v>822</v>
      </c>
      <c r="N35" s="240" t="s">
        <v>822</v>
      </c>
      <c r="O35" s="241" t="s">
        <v>822</v>
      </c>
    </row>
    <row r="36" spans="1:15" s="51" customFormat="1" ht="15.75" customHeight="1" thickBot="1">
      <c r="A36" s="496" t="s">
        <v>552</v>
      </c>
      <c r="B36" s="10">
        <f>SUM(C36:O36)</f>
        <v>2</v>
      </c>
      <c r="C36" s="243" t="s">
        <v>822</v>
      </c>
      <c r="D36" s="243" t="s">
        <v>822</v>
      </c>
      <c r="E36" s="243" t="s">
        <v>822</v>
      </c>
      <c r="F36" s="243" t="s">
        <v>822</v>
      </c>
      <c r="G36" s="8">
        <v>2</v>
      </c>
      <c r="H36" s="244" t="s">
        <v>822</v>
      </c>
      <c r="I36" s="243" t="s">
        <v>822</v>
      </c>
      <c r="J36" s="243" t="s">
        <v>822</v>
      </c>
      <c r="K36" s="243" t="s">
        <v>822</v>
      </c>
      <c r="L36" s="243" t="s">
        <v>822</v>
      </c>
      <c r="M36" s="243" t="s">
        <v>822</v>
      </c>
      <c r="N36" s="243" t="s">
        <v>822</v>
      </c>
      <c r="O36" s="245" t="s">
        <v>822</v>
      </c>
    </row>
    <row r="37" spans="1:15" s="233" customFormat="1" ht="12.75" customHeight="1">
      <c r="A37" s="230" t="s">
        <v>508</v>
      </c>
      <c r="B37" s="231"/>
      <c r="C37" s="231"/>
      <c r="D37" s="231"/>
      <c r="E37" s="231"/>
      <c r="F37" s="231"/>
      <c r="G37" s="231"/>
      <c r="H37" s="232" t="s">
        <v>509</v>
      </c>
      <c r="I37" s="231"/>
      <c r="K37" s="231"/>
      <c r="L37" s="231"/>
      <c r="M37" s="231"/>
      <c r="N37" s="231"/>
      <c r="O37" s="231"/>
    </row>
    <row r="38" spans="1:15" s="236" customFormat="1" ht="12.75" customHeight="1">
      <c r="A38" s="234" t="s">
        <v>515</v>
      </c>
      <c r="B38" s="231"/>
      <c r="C38" s="231"/>
      <c r="D38" s="231"/>
      <c r="E38" s="231"/>
      <c r="F38" s="231"/>
      <c r="G38" s="231"/>
      <c r="H38" s="235" t="s">
        <v>510</v>
      </c>
      <c r="I38" s="231"/>
      <c r="K38" s="231"/>
      <c r="L38" s="231"/>
      <c r="M38" s="231"/>
      <c r="N38" s="231"/>
      <c r="O38" s="231"/>
    </row>
    <row r="39" spans="1:15" s="236" customFormat="1" ht="12.75" customHeight="1">
      <c r="A39" s="230" t="s">
        <v>517</v>
      </c>
      <c r="B39" s="237"/>
      <c r="C39" s="231"/>
      <c r="D39" s="231"/>
      <c r="E39" s="231"/>
      <c r="F39" s="231"/>
      <c r="G39" s="231"/>
      <c r="H39" s="238" t="s">
        <v>522</v>
      </c>
      <c r="I39" s="231"/>
      <c r="K39" s="231"/>
      <c r="L39" s="231"/>
      <c r="M39" s="231"/>
      <c r="N39" s="231"/>
      <c r="O39" s="231"/>
    </row>
    <row r="40" spans="1:15" s="236" customFormat="1" ht="12.75" customHeight="1">
      <c r="A40" s="230" t="s">
        <v>518</v>
      </c>
      <c r="B40" s="239"/>
      <c r="C40" s="231"/>
      <c r="D40" s="231"/>
      <c r="E40" s="231"/>
      <c r="F40" s="231"/>
      <c r="G40" s="231"/>
      <c r="H40" s="238" t="s">
        <v>523</v>
      </c>
      <c r="I40" s="231"/>
      <c r="K40" s="231"/>
      <c r="L40" s="231"/>
      <c r="M40" s="231"/>
      <c r="N40" s="231"/>
      <c r="O40" s="231"/>
    </row>
    <row r="41" spans="1:15" s="236" customFormat="1" ht="12.75" customHeight="1">
      <c r="A41" s="230" t="s">
        <v>519</v>
      </c>
      <c r="B41" s="239"/>
      <c r="C41" s="231"/>
      <c r="D41" s="231"/>
      <c r="E41" s="231"/>
      <c r="F41" s="231"/>
      <c r="G41" s="231"/>
      <c r="H41" s="238" t="s">
        <v>524</v>
      </c>
      <c r="I41" s="231"/>
      <c r="K41" s="231"/>
      <c r="L41" s="231"/>
      <c r="M41" s="231"/>
      <c r="N41" s="231"/>
      <c r="O41" s="231"/>
    </row>
    <row r="42" spans="1:15" s="236" customFormat="1" ht="12.75" customHeight="1">
      <c r="A42" s="230" t="s">
        <v>520</v>
      </c>
      <c r="B42" s="239"/>
      <c r="C42" s="231"/>
      <c r="D42" s="231"/>
      <c r="E42" s="231"/>
      <c r="F42" s="231"/>
      <c r="G42" s="231"/>
      <c r="H42" s="238" t="s">
        <v>525</v>
      </c>
      <c r="I42" s="231"/>
      <c r="K42" s="231"/>
      <c r="L42" s="231"/>
      <c r="M42" s="231"/>
      <c r="N42" s="231"/>
      <c r="O42" s="231"/>
    </row>
    <row r="43" spans="1:15" s="236" customFormat="1" ht="12.75" customHeight="1">
      <c r="A43" s="230" t="s">
        <v>521</v>
      </c>
      <c r="B43" s="239"/>
      <c r="C43" s="231"/>
      <c r="D43" s="231"/>
      <c r="E43" s="231"/>
      <c r="F43" s="231"/>
      <c r="G43" s="231"/>
      <c r="H43" s="235" t="s">
        <v>528</v>
      </c>
      <c r="I43" s="231"/>
      <c r="K43" s="231"/>
      <c r="L43" s="231"/>
      <c r="M43" s="231"/>
      <c r="N43" s="231"/>
      <c r="O43" s="231"/>
    </row>
    <row r="44" spans="1:15" s="236" customFormat="1" ht="12.75" customHeight="1">
      <c r="A44" s="230" t="s">
        <v>516</v>
      </c>
      <c r="B44" s="231"/>
      <c r="C44" s="231"/>
      <c r="D44" s="231"/>
      <c r="E44" s="231"/>
      <c r="F44" s="231"/>
      <c r="G44" s="231"/>
      <c r="H44" s="238" t="s">
        <v>526</v>
      </c>
      <c r="I44" s="231"/>
      <c r="K44" s="231"/>
      <c r="L44" s="231"/>
      <c r="M44" s="231"/>
      <c r="N44" s="231"/>
      <c r="O44" s="231"/>
    </row>
    <row r="45" s="236" customFormat="1" ht="12.75" customHeight="1">
      <c r="H45" s="235" t="s">
        <v>511</v>
      </c>
    </row>
    <row r="46" s="236" customFormat="1" ht="12.75" customHeight="1">
      <c r="H46" s="238" t="s">
        <v>527</v>
      </c>
    </row>
  </sheetData>
  <mergeCells count="2">
    <mergeCell ref="A2:G2"/>
    <mergeCell ref="H2:O2"/>
  </mergeCells>
  <printOptions/>
  <pageMargins left="1.141732283464567" right="1.141732283464567" top="1.5748031496062993" bottom="1.5748031496062993" header="0.5118110236220472" footer="0.9055118110236221"/>
  <pageSetup firstPageNumber="258"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20.xml><?xml version="1.0" encoding="utf-8"?>
<worksheet xmlns="http://schemas.openxmlformats.org/spreadsheetml/2006/main" xmlns:r="http://schemas.openxmlformats.org/officeDocument/2006/relationships">
  <dimension ref="A1:O27"/>
  <sheetViews>
    <sheetView showGridLines="0" zoomScale="120" zoomScaleNormal="120" workbookViewId="0" topLeftCell="A1">
      <selection activeCell="A1" sqref="A1"/>
    </sheetView>
  </sheetViews>
  <sheetFormatPr defaultColWidth="9.00390625" defaultRowHeight="16.5"/>
  <cols>
    <col min="1" max="1" width="16.125" style="13" customWidth="1"/>
    <col min="2" max="2" width="9.625" style="13" customWidth="1"/>
    <col min="3" max="3" width="10.625" style="13" customWidth="1"/>
    <col min="4" max="7" width="9.625" style="13" customWidth="1"/>
    <col min="8" max="8" width="9.125" style="13" customWidth="1"/>
    <col min="9" max="11" width="9.375" style="13" customWidth="1"/>
    <col min="12" max="12" width="9.625" style="13" customWidth="1"/>
    <col min="13" max="15" width="9.375" style="13" customWidth="1"/>
    <col min="16" max="16384" width="9.00390625" style="13" customWidth="1"/>
  </cols>
  <sheetData>
    <row r="1" spans="1:15" s="14" customFormat="1" ht="18" customHeight="1">
      <c r="A1" s="11" t="s">
        <v>813</v>
      </c>
      <c r="B1" s="26"/>
      <c r="O1" s="49" t="s">
        <v>745</v>
      </c>
    </row>
    <row r="2" spans="1:15" s="16" customFormat="1" ht="24.75" customHeight="1">
      <c r="A2" s="434" t="s">
        <v>853</v>
      </c>
      <c r="B2" s="433"/>
      <c r="C2" s="433"/>
      <c r="D2" s="433"/>
      <c r="E2" s="433"/>
      <c r="F2" s="433"/>
      <c r="G2" s="433"/>
      <c r="H2" s="487" t="s">
        <v>83</v>
      </c>
      <c r="I2" s="487"/>
      <c r="J2" s="487"/>
      <c r="K2" s="487"/>
      <c r="L2" s="487"/>
      <c r="M2" s="487"/>
      <c r="N2" s="487"/>
      <c r="O2" s="487"/>
    </row>
    <row r="3" spans="1:15" s="367" customFormat="1" ht="18.75" customHeight="1">
      <c r="A3" s="438" t="s">
        <v>11</v>
      </c>
      <c r="B3" s="439"/>
      <c r="C3" s="439"/>
      <c r="D3" s="439"/>
      <c r="E3" s="439"/>
      <c r="F3" s="439"/>
      <c r="G3" s="439"/>
      <c r="H3" s="439" t="s">
        <v>12</v>
      </c>
      <c r="I3" s="439"/>
      <c r="J3" s="439"/>
      <c r="K3" s="439"/>
      <c r="L3" s="439"/>
      <c r="M3" s="439"/>
      <c r="N3" s="439"/>
      <c r="O3" s="439"/>
    </row>
    <row r="4" spans="1:15" s="14" customFormat="1" ht="15" customHeight="1" thickBot="1">
      <c r="A4" s="1"/>
      <c r="B4" s="15"/>
      <c r="C4" s="15"/>
      <c r="D4" s="15"/>
      <c r="E4" s="15"/>
      <c r="G4" s="23" t="s">
        <v>681</v>
      </c>
      <c r="H4" s="15"/>
      <c r="I4" s="15"/>
      <c r="J4" s="42"/>
      <c r="K4" s="42"/>
      <c r="O4" s="25" t="s">
        <v>682</v>
      </c>
    </row>
    <row r="5" spans="1:15" s="14" customFormat="1" ht="39.75" customHeight="1">
      <c r="A5" s="273" t="s">
        <v>936</v>
      </c>
      <c r="B5" s="266" t="s">
        <v>937</v>
      </c>
      <c r="C5" s="247" t="s">
        <v>964</v>
      </c>
      <c r="D5" s="279" t="s">
        <v>965</v>
      </c>
      <c r="E5" s="248" t="s">
        <v>966</v>
      </c>
      <c r="F5" s="248" t="s">
        <v>967</v>
      </c>
      <c r="G5" s="267" t="s">
        <v>968</v>
      </c>
      <c r="H5" s="247" t="s">
        <v>969</v>
      </c>
      <c r="I5" s="267" t="s">
        <v>970</v>
      </c>
      <c r="J5" s="248" t="s">
        <v>971</v>
      </c>
      <c r="K5" s="248" t="s">
        <v>972</v>
      </c>
      <c r="L5" s="248" t="s">
        <v>973</v>
      </c>
      <c r="M5" s="248" t="s">
        <v>974</v>
      </c>
      <c r="N5" s="248" t="s">
        <v>975</v>
      </c>
      <c r="O5" s="249" t="s">
        <v>976</v>
      </c>
    </row>
    <row r="6" spans="1:15" s="14" customFormat="1" ht="39.75" customHeight="1" thickBot="1">
      <c r="A6" s="27" t="s">
        <v>945</v>
      </c>
      <c r="B6" s="38" t="s">
        <v>946</v>
      </c>
      <c r="C6" s="12" t="s">
        <v>977</v>
      </c>
      <c r="D6" s="12" t="s">
        <v>978</v>
      </c>
      <c r="E6" s="39" t="s">
        <v>0</v>
      </c>
      <c r="F6" s="39" t="s">
        <v>1</v>
      </c>
      <c r="G6" s="39" t="s">
        <v>2</v>
      </c>
      <c r="H6" s="12" t="s">
        <v>3</v>
      </c>
      <c r="I6" s="39" t="s">
        <v>4</v>
      </c>
      <c r="J6" s="39" t="s">
        <v>5</v>
      </c>
      <c r="K6" s="39" t="s">
        <v>6</v>
      </c>
      <c r="L6" s="39" t="s">
        <v>7</v>
      </c>
      <c r="M6" s="39" t="s">
        <v>8</v>
      </c>
      <c r="N6" s="39" t="s">
        <v>9</v>
      </c>
      <c r="O6" s="40" t="s">
        <v>10</v>
      </c>
    </row>
    <row r="7" spans="1:15" s="14" customFormat="1" ht="37.5" customHeight="1">
      <c r="A7" s="37" t="s">
        <v>13</v>
      </c>
      <c r="B7" s="2">
        <v>11657103</v>
      </c>
      <c r="C7" s="3">
        <v>188217</v>
      </c>
      <c r="D7" s="3">
        <v>939698</v>
      </c>
      <c r="E7" s="3">
        <v>657084</v>
      </c>
      <c r="F7" s="3">
        <v>78118</v>
      </c>
      <c r="G7" s="3">
        <v>439481</v>
      </c>
      <c r="H7" s="242" t="s">
        <v>935</v>
      </c>
      <c r="I7" s="3">
        <v>74017</v>
      </c>
      <c r="J7" s="3">
        <v>429511</v>
      </c>
      <c r="K7" s="3">
        <v>260792</v>
      </c>
      <c r="L7" s="3">
        <v>3285296</v>
      </c>
      <c r="M7" s="3">
        <v>489930</v>
      </c>
      <c r="N7" s="3">
        <v>228930</v>
      </c>
      <c r="O7" s="4">
        <v>186163</v>
      </c>
    </row>
    <row r="8" spans="1:15" s="14" customFormat="1" ht="9.75" customHeight="1">
      <c r="A8" s="43"/>
      <c r="B8" s="2"/>
      <c r="C8" s="3"/>
      <c r="D8" s="3"/>
      <c r="E8" s="3"/>
      <c r="F8" s="3"/>
      <c r="G8" s="3"/>
      <c r="H8" s="156"/>
      <c r="I8" s="3"/>
      <c r="J8" s="3"/>
      <c r="K8" s="3"/>
      <c r="L8" s="3"/>
      <c r="M8" s="3"/>
      <c r="N8" s="3"/>
      <c r="O8" s="4"/>
    </row>
    <row r="9" spans="1:15" s="14" customFormat="1" ht="37.5" customHeight="1">
      <c r="A9" s="37" t="s">
        <v>952</v>
      </c>
      <c r="B9" s="2">
        <v>14484178</v>
      </c>
      <c r="C9" s="3">
        <v>225078</v>
      </c>
      <c r="D9" s="3">
        <v>1114775</v>
      </c>
      <c r="E9" s="3">
        <v>832309</v>
      </c>
      <c r="F9" s="3">
        <v>72960</v>
      </c>
      <c r="G9" s="3">
        <v>346946</v>
      </c>
      <c r="H9" s="242" t="s">
        <v>953</v>
      </c>
      <c r="I9" s="3">
        <v>115047</v>
      </c>
      <c r="J9" s="3">
        <v>686454</v>
      </c>
      <c r="K9" s="3">
        <v>467137</v>
      </c>
      <c r="L9" s="3">
        <v>3801209</v>
      </c>
      <c r="M9" s="3">
        <v>455943</v>
      </c>
      <c r="N9" s="3">
        <v>186648</v>
      </c>
      <c r="O9" s="4">
        <v>698497</v>
      </c>
    </row>
    <row r="10" spans="1:15" s="14" customFormat="1" ht="9.75" customHeight="1">
      <c r="A10" s="43"/>
      <c r="B10" s="2"/>
      <c r="C10" s="3"/>
      <c r="D10" s="3"/>
      <c r="E10" s="3"/>
      <c r="F10" s="3"/>
      <c r="G10" s="3"/>
      <c r="H10" s="156"/>
      <c r="I10" s="3"/>
      <c r="J10" s="3"/>
      <c r="K10" s="3"/>
      <c r="L10" s="3"/>
      <c r="M10" s="3"/>
      <c r="N10" s="3"/>
      <c r="O10" s="4"/>
    </row>
    <row r="11" spans="1:15" s="14" customFormat="1" ht="37.5" customHeight="1">
      <c r="A11" s="37" t="s">
        <v>954</v>
      </c>
      <c r="B11" s="393">
        <v>20339652</v>
      </c>
      <c r="C11" s="3">
        <v>452503</v>
      </c>
      <c r="D11" s="3">
        <v>1704861</v>
      </c>
      <c r="E11" s="3">
        <v>1231960</v>
      </c>
      <c r="F11" s="3">
        <v>99059</v>
      </c>
      <c r="G11" s="3">
        <v>696885</v>
      </c>
      <c r="H11" s="242" t="s">
        <v>953</v>
      </c>
      <c r="I11" s="3">
        <v>114766</v>
      </c>
      <c r="J11" s="3">
        <v>815623</v>
      </c>
      <c r="K11" s="3">
        <v>471460</v>
      </c>
      <c r="L11" s="3">
        <v>5385764</v>
      </c>
      <c r="M11" s="3">
        <v>833957</v>
      </c>
      <c r="N11" s="3">
        <v>2218</v>
      </c>
      <c r="O11" s="4">
        <v>1029719</v>
      </c>
    </row>
    <row r="12" spans="1:15" s="14" customFormat="1" ht="9.75" customHeight="1">
      <c r="A12" s="43"/>
      <c r="B12" s="393"/>
      <c r="C12" s="3"/>
      <c r="D12" s="3"/>
      <c r="E12" s="3"/>
      <c r="F12" s="3"/>
      <c r="G12" s="3"/>
      <c r="H12" s="156"/>
      <c r="I12" s="3"/>
      <c r="J12" s="3"/>
      <c r="K12" s="3"/>
      <c r="L12" s="3"/>
      <c r="M12" s="3"/>
      <c r="N12" s="3"/>
      <c r="O12" s="4"/>
    </row>
    <row r="13" spans="1:15" s="14" customFormat="1" ht="37.5" customHeight="1">
      <c r="A13" s="37" t="s">
        <v>955</v>
      </c>
      <c r="B13" s="393">
        <v>16183511</v>
      </c>
      <c r="C13" s="3">
        <v>320620</v>
      </c>
      <c r="D13" s="3">
        <v>1281124</v>
      </c>
      <c r="E13" s="3">
        <v>870804</v>
      </c>
      <c r="F13" s="3">
        <v>72596</v>
      </c>
      <c r="G13" s="3">
        <v>600447</v>
      </c>
      <c r="H13" s="242" t="s">
        <v>953</v>
      </c>
      <c r="I13" s="3">
        <v>93585</v>
      </c>
      <c r="J13" s="3">
        <v>887994</v>
      </c>
      <c r="K13" s="3">
        <v>307186</v>
      </c>
      <c r="L13" s="3">
        <v>4201351</v>
      </c>
      <c r="M13" s="3">
        <v>1086146</v>
      </c>
      <c r="N13" s="3">
        <v>2084</v>
      </c>
      <c r="O13" s="4">
        <v>727887</v>
      </c>
    </row>
    <row r="14" spans="1:15" s="14" customFormat="1" ht="9.75" customHeight="1">
      <c r="A14" s="43"/>
      <c r="B14" s="393"/>
      <c r="C14" s="3"/>
      <c r="D14" s="3"/>
      <c r="E14" s="3"/>
      <c r="F14" s="3"/>
      <c r="G14" s="3"/>
      <c r="H14" s="156"/>
      <c r="I14" s="3"/>
      <c r="J14" s="3"/>
      <c r="K14" s="3"/>
      <c r="L14" s="3"/>
      <c r="M14" s="3"/>
      <c r="N14" s="3"/>
      <c r="O14" s="4"/>
    </row>
    <row r="15" spans="1:15" s="14" customFormat="1" ht="37.5" customHeight="1">
      <c r="A15" s="37" t="s">
        <v>956</v>
      </c>
      <c r="B15" s="393">
        <v>14126852</v>
      </c>
      <c r="C15" s="3">
        <f>287050761/1000+18051.06</f>
        <v>305101.821</v>
      </c>
      <c r="D15" s="3">
        <f>1126890593/1000+94747.161</f>
        <v>1221637.7540000002</v>
      </c>
      <c r="E15" s="3">
        <f>737281908/1000+236744.783</f>
        <v>974026.6910000001</v>
      </c>
      <c r="F15" s="3">
        <f>69209217/1000+33</f>
        <v>69242.217</v>
      </c>
      <c r="G15" s="3">
        <f>215244558/1000+267758.684</f>
        <v>483003.24199999997</v>
      </c>
      <c r="H15" s="242" t="s">
        <v>953</v>
      </c>
      <c r="I15" s="3">
        <f>70285946/1000+33217.843</f>
        <v>103503.78899999999</v>
      </c>
      <c r="J15" s="3">
        <f>276288091/1000+293707.356</f>
        <v>569995.447</v>
      </c>
      <c r="K15" s="3">
        <f>307197802/1000+52794.344</f>
        <v>359992.146</v>
      </c>
      <c r="L15" s="3">
        <f>6412160/1000+4448393.455</f>
        <v>4454805.615</v>
      </c>
      <c r="M15" s="3">
        <f>164061399/1000+565057.178</f>
        <v>729118.5769999999</v>
      </c>
      <c r="N15" s="3">
        <f>1090827/1000</f>
        <v>1090.827</v>
      </c>
      <c r="O15" s="4">
        <f>473601114/1000+44157.262</f>
        <v>517758.376</v>
      </c>
    </row>
    <row r="16" spans="1:15" s="14" customFormat="1" ht="9.75" customHeight="1">
      <c r="A16" s="43"/>
      <c r="B16" s="393"/>
      <c r="C16" s="3"/>
      <c r="D16" s="3"/>
      <c r="E16" s="3"/>
      <c r="F16" s="3"/>
      <c r="G16" s="3"/>
      <c r="H16" s="156"/>
      <c r="I16" s="3"/>
      <c r="J16" s="3"/>
      <c r="K16" s="3"/>
      <c r="L16" s="3"/>
      <c r="M16" s="3"/>
      <c r="N16" s="3"/>
      <c r="O16" s="4"/>
    </row>
    <row r="17" spans="1:15" s="14" customFormat="1" ht="37.5" customHeight="1">
      <c r="A17" s="37" t="s">
        <v>957</v>
      </c>
      <c r="B17" s="393">
        <v>13283391</v>
      </c>
      <c r="C17" s="3">
        <v>416763.554</v>
      </c>
      <c r="D17" s="3">
        <v>1275743.462</v>
      </c>
      <c r="E17" s="3">
        <v>866977.276</v>
      </c>
      <c r="F17" s="3">
        <v>60018.295</v>
      </c>
      <c r="G17" s="3">
        <v>488913.387</v>
      </c>
      <c r="H17" s="242" t="s">
        <v>851</v>
      </c>
      <c r="I17" s="3">
        <v>158671.597</v>
      </c>
      <c r="J17" s="3">
        <v>559258.511</v>
      </c>
      <c r="K17" s="3">
        <v>353720.33900000004</v>
      </c>
      <c r="L17" s="3">
        <v>2988275.3529999997</v>
      </c>
      <c r="M17" s="3">
        <v>1034159.615</v>
      </c>
      <c r="N17" s="3">
        <v>1010.954</v>
      </c>
      <c r="O17" s="4">
        <v>443139.722</v>
      </c>
    </row>
    <row r="18" spans="1:15" s="14" customFormat="1" ht="9.75" customHeight="1">
      <c r="A18" s="43"/>
      <c r="B18" s="393"/>
      <c r="C18" s="3"/>
      <c r="D18" s="3"/>
      <c r="E18" s="3"/>
      <c r="F18" s="3"/>
      <c r="G18" s="3"/>
      <c r="H18" s="156"/>
      <c r="I18" s="3"/>
      <c r="J18" s="3"/>
      <c r="K18" s="3"/>
      <c r="L18" s="3"/>
      <c r="M18" s="3"/>
      <c r="N18" s="3"/>
      <c r="O18" s="4"/>
    </row>
    <row r="19" spans="1:15" s="14" customFormat="1" ht="37.5" customHeight="1">
      <c r="A19" s="37" t="s">
        <v>14</v>
      </c>
      <c r="B19" s="393">
        <f>SUM(C19:O19)+SUM('6-11各鄉鎮市歲出預決算-按政事別分(決算)續完'!B19:N19)</f>
        <v>14745491</v>
      </c>
      <c r="C19" s="3">
        <v>342057</v>
      </c>
      <c r="D19" s="3">
        <v>1279752</v>
      </c>
      <c r="E19" s="3">
        <v>1133523</v>
      </c>
      <c r="F19" s="3">
        <v>47292</v>
      </c>
      <c r="G19" s="3">
        <v>634277</v>
      </c>
      <c r="H19" s="242" t="s">
        <v>851</v>
      </c>
      <c r="I19" s="3">
        <v>184920</v>
      </c>
      <c r="J19" s="3">
        <v>567552</v>
      </c>
      <c r="K19" s="3">
        <v>331558</v>
      </c>
      <c r="L19" s="3">
        <v>4200073</v>
      </c>
      <c r="M19" s="3">
        <v>1025356</v>
      </c>
      <c r="N19" s="3">
        <v>988</v>
      </c>
      <c r="O19" s="4">
        <v>443773</v>
      </c>
    </row>
    <row r="20" spans="1:15" s="14" customFormat="1" ht="9.75" customHeight="1">
      <c r="A20" s="43"/>
      <c r="B20" s="393"/>
      <c r="C20" s="3"/>
      <c r="D20" s="3"/>
      <c r="E20" s="3"/>
      <c r="F20" s="3"/>
      <c r="G20" s="3"/>
      <c r="H20" s="156"/>
      <c r="I20" s="3"/>
      <c r="J20" s="3"/>
      <c r="K20" s="3"/>
      <c r="L20" s="3"/>
      <c r="M20" s="3"/>
      <c r="N20" s="3"/>
      <c r="O20" s="4"/>
    </row>
    <row r="21" spans="1:15" s="14" customFormat="1" ht="37.5" customHeight="1">
      <c r="A21" s="37" t="s">
        <v>959</v>
      </c>
      <c r="B21" s="393">
        <f>SUM(C21:O21)+SUM('6-11各鄉鎮市歲出預決算-按政事別分(決算)續完'!B21:N21)</f>
        <v>8666869.665000001</v>
      </c>
      <c r="C21" s="3">
        <v>345559.089</v>
      </c>
      <c r="D21" s="3">
        <v>1279583.906</v>
      </c>
      <c r="E21" s="3">
        <v>1026644.053</v>
      </c>
      <c r="F21" s="3">
        <v>50962.869</v>
      </c>
      <c r="G21" s="3">
        <v>267765.946</v>
      </c>
      <c r="H21" s="242" t="s">
        <v>851</v>
      </c>
      <c r="I21" s="9">
        <v>102629.922</v>
      </c>
      <c r="J21" s="3">
        <v>256116.074</v>
      </c>
      <c r="K21" s="50">
        <v>366697.172</v>
      </c>
      <c r="L21" s="50">
        <v>15254.927</v>
      </c>
      <c r="M21" s="3">
        <v>216916.261</v>
      </c>
      <c r="N21" s="50">
        <v>760.69</v>
      </c>
      <c r="O21" s="175">
        <v>580960.624</v>
      </c>
    </row>
    <row r="22" spans="1:15" s="1" customFormat="1" ht="9.75" customHeight="1">
      <c r="A22" s="43"/>
      <c r="B22" s="393"/>
      <c r="C22" s="3"/>
      <c r="D22" s="3"/>
      <c r="E22" s="3"/>
      <c r="F22" s="3"/>
      <c r="G22" s="3"/>
      <c r="H22" s="156"/>
      <c r="I22" s="3"/>
      <c r="J22" s="3"/>
      <c r="K22" s="3"/>
      <c r="L22" s="3"/>
      <c r="M22" s="3"/>
      <c r="N22" s="3"/>
      <c r="O22" s="4"/>
    </row>
    <row r="23" spans="1:15" s="14" customFormat="1" ht="37.5" customHeight="1">
      <c r="A23" s="37" t="s">
        <v>960</v>
      </c>
      <c r="B23" s="393">
        <f>SUM(C23:O23)+SUM('6-11各鄉鎮市歲出預決算-按政事別分(決算)續完'!B23:N23)</f>
        <v>13385069.795</v>
      </c>
      <c r="C23" s="3">
        <f>346398.28+8464.811</f>
        <v>354863.091</v>
      </c>
      <c r="D23" s="3">
        <f>1271307.46+85719.495</f>
        <v>1357026.955</v>
      </c>
      <c r="E23" s="3">
        <f>1099168.269+197833.689</f>
        <v>1297001.958</v>
      </c>
      <c r="F23" s="3">
        <f>49392.03+373.674</f>
        <v>49765.704</v>
      </c>
      <c r="G23" s="3">
        <f>240934.374+313396.986</f>
        <v>554331.36</v>
      </c>
      <c r="H23" s="242" t="s">
        <v>851</v>
      </c>
      <c r="I23" s="9">
        <f>135879.394+64675.411</f>
        <v>200554.805</v>
      </c>
      <c r="J23" s="3">
        <f>198391.146+287738.056</f>
        <v>486129.202</v>
      </c>
      <c r="K23" s="50">
        <f>309815.816+42371.1</f>
        <v>352186.91599999997</v>
      </c>
      <c r="L23" s="50">
        <f>19687.465+2484624.397</f>
        <v>2504311.8619999997</v>
      </c>
      <c r="M23" s="3">
        <f>217079.957+732816.509</f>
        <v>949896.466</v>
      </c>
      <c r="N23" s="50">
        <f>711.663+0</f>
        <v>711.663</v>
      </c>
      <c r="O23" s="175">
        <f>542120.195+4542.209</f>
        <v>546662.404</v>
      </c>
    </row>
    <row r="24" spans="1:15" s="1" customFormat="1" ht="9.75" customHeight="1">
      <c r="A24" s="43"/>
      <c r="B24" s="393"/>
      <c r="C24" s="3"/>
      <c r="D24" s="3"/>
      <c r="E24" s="3"/>
      <c r="F24" s="3"/>
      <c r="G24" s="3"/>
      <c r="H24" s="156"/>
      <c r="I24" s="3"/>
      <c r="J24" s="3"/>
      <c r="K24" s="3"/>
      <c r="L24" s="3"/>
      <c r="M24" s="3"/>
      <c r="N24" s="3"/>
      <c r="O24" s="4"/>
    </row>
    <row r="25" spans="1:15" s="14" customFormat="1" ht="37.5" customHeight="1" thickBot="1">
      <c r="A25" s="46" t="s">
        <v>961</v>
      </c>
      <c r="B25" s="394">
        <v>13609727</v>
      </c>
      <c r="C25" s="8">
        <v>402571</v>
      </c>
      <c r="D25" s="8">
        <v>1391044</v>
      </c>
      <c r="E25" s="8">
        <v>1160991</v>
      </c>
      <c r="F25" s="8">
        <v>51368</v>
      </c>
      <c r="G25" s="8">
        <v>564323</v>
      </c>
      <c r="H25" s="244" t="s">
        <v>953</v>
      </c>
      <c r="I25" s="10">
        <v>230698</v>
      </c>
      <c r="J25" s="8">
        <v>440619</v>
      </c>
      <c r="K25" s="76">
        <v>337206</v>
      </c>
      <c r="L25" s="76">
        <v>2674106</v>
      </c>
      <c r="M25" s="8">
        <v>977507</v>
      </c>
      <c r="N25" s="76">
        <v>627</v>
      </c>
      <c r="O25" s="280">
        <v>558168</v>
      </c>
    </row>
    <row r="26" spans="1:8" s="14" customFormat="1" ht="13.5" customHeight="1">
      <c r="A26" s="11" t="s">
        <v>679</v>
      </c>
      <c r="H26" s="26" t="s">
        <v>784</v>
      </c>
    </row>
    <row r="27" spans="1:8" ht="13.5" customHeight="1">
      <c r="A27" s="22" t="s">
        <v>858</v>
      </c>
      <c r="H27" s="26" t="s">
        <v>857</v>
      </c>
    </row>
  </sheetData>
  <mergeCells count="4">
    <mergeCell ref="A3:G3"/>
    <mergeCell ref="H3:O3"/>
    <mergeCell ref="H2:O2"/>
    <mergeCell ref="A2:G2"/>
  </mergeCells>
  <printOptions/>
  <pageMargins left="1.1811023622047245" right="1.1811023622047245" top="1.5748031496062993" bottom="1.5748031496062993" header="0.5118110236220472" footer="0.9055118110236221"/>
  <pageSetup firstPageNumber="296"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21.xml><?xml version="1.0" encoding="utf-8"?>
<worksheet xmlns="http://schemas.openxmlformats.org/spreadsheetml/2006/main" xmlns:r="http://schemas.openxmlformats.org/officeDocument/2006/relationships">
  <dimension ref="A1:O26"/>
  <sheetViews>
    <sheetView showGridLines="0" zoomScale="120" zoomScaleNormal="120" workbookViewId="0" topLeftCell="A1">
      <selection activeCell="A1" sqref="A1"/>
    </sheetView>
  </sheetViews>
  <sheetFormatPr defaultColWidth="9.00390625" defaultRowHeight="16.5"/>
  <cols>
    <col min="1" max="1" width="16.125" style="13" customWidth="1"/>
    <col min="2" max="3" width="9.875" style="13" customWidth="1"/>
    <col min="4" max="5" width="9.625" style="13" customWidth="1"/>
    <col min="6" max="7" width="9.875" style="13" customWidth="1"/>
    <col min="8" max="8" width="10.125" style="13" customWidth="1"/>
    <col min="9" max="9" width="10.625" style="13" customWidth="1"/>
    <col min="10" max="10" width="9.625" style="13" customWidth="1"/>
    <col min="11" max="11" width="11.625" style="13" customWidth="1"/>
    <col min="12" max="12" width="13.625" style="13" customWidth="1"/>
    <col min="13" max="14" width="9.625" style="13" customWidth="1"/>
    <col min="15" max="16384" width="9.00390625" style="13" customWidth="1"/>
  </cols>
  <sheetData>
    <row r="1" spans="1:14" s="14" customFormat="1" ht="18" customHeight="1">
      <c r="A1" s="11" t="s">
        <v>849</v>
      </c>
      <c r="B1" s="26"/>
      <c r="N1" s="49" t="s">
        <v>850</v>
      </c>
    </row>
    <row r="2" spans="1:15" s="16" customFormat="1" ht="34.5" customHeight="1">
      <c r="A2" s="434" t="s">
        <v>44</v>
      </c>
      <c r="B2" s="433"/>
      <c r="C2" s="433"/>
      <c r="D2" s="433"/>
      <c r="E2" s="433"/>
      <c r="F2" s="433"/>
      <c r="G2" s="433"/>
      <c r="H2" s="442" t="s">
        <v>45</v>
      </c>
      <c r="I2" s="442"/>
      <c r="J2" s="442"/>
      <c r="K2" s="442"/>
      <c r="L2" s="442"/>
      <c r="M2" s="442"/>
      <c r="N2" s="442"/>
      <c r="O2" s="44"/>
    </row>
    <row r="3" spans="1:15" s="367" customFormat="1" ht="18.75" customHeight="1">
      <c r="A3" s="438" t="s">
        <v>46</v>
      </c>
      <c r="B3" s="439"/>
      <c r="C3" s="439"/>
      <c r="D3" s="439"/>
      <c r="E3" s="439"/>
      <c r="F3" s="439"/>
      <c r="G3" s="439"/>
      <c r="H3" s="439" t="s">
        <v>47</v>
      </c>
      <c r="I3" s="439"/>
      <c r="J3" s="439"/>
      <c r="K3" s="439"/>
      <c r="L3" s="439"/>
      <c r="M3" s="439"/>
      <c r="N3" s="439"/>
      <c r="O3" s="369"/>
    </row>
    <row r="4" spans="1:14" s="14" customFormat="1" ht="15" customHeight="1" thickBot="1">
      <c r="A4" s="1"/>
      <c r="B4" s="15"/>
      <c r="C4" s="15"/>
      <c r="D4" s="15"/>
      <c r="E4" s="15"/>
      <c r="F4" s="15"/>
      <c r="G4" s="23" t="s">
        <v>802</v>
      </c>
      <c r="H4" s="15"/>
      <c r="I4" s="15"/>
      <c r="J4" s="42"/>
      <c r="K4" s="42"/>
      <c r="L4" s="24"/>
      <c r="M4" s="24"/>
      <c r="N4" s="25" t="s">
        <v>803</v>
      </c>
    </row>
    <row r="5" spans="1:14" s="14" customFormat="1" ht="30" customHeight="1">
      <c r="A5" s="273" t="s">
        <v>15</v>
      </c>
      <c r="B5" s="281" t="s">
        <v>16</v>
      </c>
      <c r="C5" s="248" t="s">
        <v>17</v>
      </c>
      <c r="D5" s="248" t="s">
        <v>18</v>
      </c>
      <c r="E5" s="248" t="s">
        <v>19</v>
      </c>
      <c r="F5" s="248" t="s">
        <v>20</v>
      </c>
      <c r="G5" s="248" t="s">
        <v>21</v>
      </c>
      <c r="H5" s="247" t="s">
        <v>22</v>
      </c>
      <c r="I5" s="248" t="s">
        <v>23</v>
      </c>
      <c r="J5" s="248" t="s">
        <v>24</v>
      </c>
      <c r="K5" s="248" t="s">
        <v>25</v>
      </c>
      <c r="L5" s="248" t="s">
        <v>26</v>
      </c>
      <c r="M5" s="248" t="s">
        <v>27</v>
      </c>
      <c r="N5" s="249" t="s">
        <v>28</v>
      </c>
    </row>
    <row r="6" spans="1:14" s="14" customFormat="1" ht="42" customHeight="1" thickBot="1">
      <c r="A6" s="27" t="s">
        <v>29</v>
      </c>
      <c r="B6" s="38" t="s">
        <v>30</v>
      </c>
      <c r="C6" s="39" t="s">
        <v>31</v>
      </c>
      <c r="D6" s="39" t="s">
        <v>32</v>
      </c>
      <c r="E6" s="39" t="s">
        <v>33</v>
      </c>
      <c r="F6" s="39" t="s">
        <v>34</v>
      </c>
      <c r="G6" s="39" t="s">
        <v>35</v>
      </c>
      <c r="H6" s="12" t="s">
        <v>36</v>
      </c>
      <c r="I6" s="39" t="s">
        <v>37</v>
      </c>
      <c r="J6" s="39" t="s">
        <v>38</v>
      </c>
      <c r="K6" s="39" t="s">
        <v>39</v>
      </c>
      <c r="L6" s="39" t="s">
        <v>40</v>
      </c>
      <c r="M6" s="39" t="s">
        <v>41</v>
      </c>
      <c r="N6" s="40" t="s">
        <v>42</v>
      </c>
    </row>
    <row r="7" spans="1:14" s="5" customFormat="1" ht="37.5" customHeight="1">
      <c r="A7" s="37" t="s">
        <v>43</v>
      </c>
      <c r="B7" s="9">
        <v>1141020</v>
      </c>
      <c r="C7" s="240" t="s">
        <v>270</v>
      </c>
      <c r="D7" s="9">
        <v>293212</v>
      </c>
      <c r="E7" s="240" t="s">
        <v>270</v>
      </c>
      <c r="F7" s="9">
        <v>2477752</v>
      </c>
      <c r="G7" s="240" t="s">
        <v>270</v>
      </c>
      <c r="H7" s="242" t="s">
        <v>270</v>
      </c>
      <c r="I7" s="50">
        <v>376729</v>
      </c>
      <c r="J7" s="240" t="s">
        <v>270</v>
      </c>
      <c r="K7" s="240" t="s">
        <v>270</v>
      </c>
      <c r="L7" s="240" t="s">
        <v>270</v>
      </c>
      <c r="M7" s="240" t="s">
        <v>270</v>
      </c>
      <c r="N7" s="15">
        <v>111153</v>
      </c>
    </row>
    <row r="8" spans="1:14" s="14" customFormat="1" ht="12" customHeight="1">
      <c r="A8" s="43"/>
      <c r="B8" s="9"/>
      <c r="C8" s="3"/>
      <c r="D8" s="9"/>
      <c r="E8" s="3"/>
      <c r="F8" s="9"/>
      <c r="G8" s="3"/>
      <c r="H8" s="9"/>
      <c r="I8" s="50"/>
      <c r="J8" s="3"/>
      <c r="K8" s="3"/>
      <c r="L8" s="3"/>
      <c r="M8" s="3"/>
      <c r="N8" s="15"/>
    </row>
    <row r="9" spans="1:14" s="5" customFormat="1" ht="37.5" customHeight="1">
      <c r="A9" s="37" t="s">
        <v>912</v>
      </c>
      <c r="B9" s="9">
        <v>1796936</v>
      </c>
      <c r="C9" s="240" t="s">
        <v>953</v>
      </c>
      <c r="D9" s="9">
        <v>228280</v>
      </c>
      <c r="E9" s="240" t="s">
        <v>953</v>
      </c>
      <c r="F9" s="9">
        <v>3174612</v>
      </c>
      <c r="G9" s="240" t="s">
        <v>953</v>
      </c>
      <c r="H9" s="242" t="s">
        <v>953</v>
      </c>
      <c r="I9" s="50">
        <v>169859</v>
      </c>
      <c r="J9" s="240" t="s">
        <v>953</v>
      </c>
      <c r="K9" s="240" t="s">
        <v>953</v>
      </c>
      <c r="L9" s="240" t="s">
        <v>953</v>
      </c>
      <c r="M9" s="240" t="s">
        <v>953</v>
      </c>
      <c r="N9" s="15">
        <v>111488</v>
      </c>
    </row>
    <row r="10" spans="1:14" s="14" customFormat="1" ht="12" customHeight="1">
      <c r="A10" s="43"/>
      <c r="B10" s="9"/>
      <c r="C10" s="3"/>
      <c r="D10" s="9"/>
      <c r="E10" s="3"/>
      <c r="F10" s="9"/>
      <c r="G10" s="3"/>
      <c r="H10" s="9"/>
      <c r="I10" s="50"/>
      <c r="J10" s="3"/>
      <c r="K10" s="3"/>
      <c r="L10" s="3"/>
      <c r="M10" s="3"/>
      <c r="N10" s="15"/>
    </row>
    <row r="11" spans="1:14" s="5" customFormat="1" ht="36.75" customHeight="1">
      <c r="A11" s="37" t="s">
        <v>84</v>
      </c>
      <c r="B11" s="3">
        <v>3188119</v>
      </c>
      <c r="C11" s="240" t="s">
        <v>953</v>
      </c>
      <c r="D11" s="3">
        <v>259358</v>
      </c>
      <c r="E11" s="240" t="s">
        <v>953</v>
      </c>
      <c r="F11" s="9">
        <v>3683869</v>
      </c>
      <c r="G11" s="3">
        <v>297226</v>
      </c>
      <c r="H11" s="242" t="s">
        <v>953</v>
      </c>
      <c r="I11" s="50">
        <v>71524</v>
      </c>
      <c r="J11" s="240" t="s">
        <v>953</v>
      </c>
      <c r="K11" s="240" t="s">
        <v>953</v>
      </c>
      <c r="L11" s="240" t="s">
        <v>953</v>
      </c>
      <c r="M11" s="240" t="s">
        <v>953</v>
      </c>
      <c r="N11" s="15">
        <v>781</v>
      </c>
    </row>
    <row r="12" spans="1:14" s="14" customFormat="1" ht="12" customHeight="1">
      <c r="A12" s="43"/>
      <c r="B12" s="9"/>
      <c r="C12" s="3"/>
      <c r="D12" s="9"/>
      <c r="E12" s="3"/>
      <c r="F12" s="9"/>
      <c r="G12" s="3"/>
      <c r="H12" s="9"/>
      <c r="I12" s="50"/>
      <c r="J12" s="3"/>
      <c r="K12" s="3"/>
      <c r="L12" s="3"/>
      <c r="M12" s="3"/>
      <c r="N12" s="15"/>
    </row>
    <row r="13" spans="1:14" s="5" customFormat="1" ht="37.5" customHeight="1">
      <c r="A13" s="37" t="s">
        <v>915</v>
      </c>
      <c r="B13" s="9">
        <v>2620082</v>
      </c>
      <c r="C13" s="240" t="s">
        <v>953</v>
      </c>
      <c r="D13" s="9">
        <v>229155</v>
      </c>
      <c r="E13" s="240" t="s">
        <v>953</v>
      </c>
      <c r="F13" s="9">
        <v>2652249</v>
      </c>
      <c r="G13" s="3">
        <v>191550</v>
      </c>
      <c r="H13" s="242" t="s">
        <v>953</v>
      </c>
      <c r="I13" s="50">
        <v>38581</v>
      </c>
      <c r="J13" s="240" t="s">
        <v>953</v>
      </c>
      <c r="K13" s="240" t="s">
        <v>953</v>
      </c>
      <c r="L13" s="240" t="s">
        <v>953</v>
      </c>
      <c r="M13" s="240" t="s">
        <v>953</v>
      </c>
      <c r="N13" s="15">
        <v>70</v>
      </c>
    </row>
    <row r="14" spans="1:14" s="14" customFormat="1" ht="12" customHeight="1">
      <c r="A14" s="43"/>
      <c r="B14" s="15"/>
      <c r="C14" s="3"/>
      <c r="D14" s="9"/>
      <c r="E14" s="3"/>
      <c r="F14" s="15"/>
      <c r="G14" s="3"/>
      <c r="H14" s="9"/>
      <c r="I14" s="50"/>
      <c r="J14" s="3"/>
      <c r="K14" s="3"/>
      <c r="L14" s="3"/>
      <c r="M14" s="3"/>
      <c r="N14" s="15"/>
    </row>
    <row r="15" spans="1:14" s="5" customFormat="1" ht="37.5" customHeight="1">
      <c r="A15" s="37" t="s">
        <v>916</v>
      </c>
      <c r="B15" s="15">
        <f>1313444071/1000+309094.387</f>
        <v>1622538.458</v>
      </c>
      <c r="C15" s="240" t="s">
        <v>953</v>
      </c>
      <c r="D15" s="9">
        <f>56634895/1000+66250.204</f>
        <v>122885.09899999999</v>
      </c>
      <c r="E15" s="240" t="s">
        <v>953</v>
      </c>
      <c r="F15" s="15">
        <f>1899580198/1000+443091.443</f>
        <v>2342671.6410000003</v>
      </c>
      <c r="G15" s="3">
        <f>208340335/1000</f>
        <v>208340.335</v>
      </c>
      <c r="H15" s="242" t="s">
        <v>953</v>
      </c>
      <c r="I15" s="50">
        <f>30262149/1000</f>
        <v>30262.149</v>
      </c>
      <c r="J15" s="240" t="s">
        <v>953</v>
      </c>
      <c r="K15" s="240" t="s">
        <v>953</v>
      </c>
      <c r="L15" s="240" t="s">
        <v>953</v>
      </c>
      <c r="M15" s="240" t="s">
        <v>953</v>
      </c>
      <c r="N15" s="15">
        <v>10878.079</v>
      </c>
    </row>
    <row r="16" spans="1:14" s="14" customFormat="1" ht="12" customHeight="1">
      <c r="A16" s="43"/>
      <c r="B16" s="15"/>
      <c r="C16" s="3"/>
      <c r="D16" s="9"/>
      <c r="E16" s="3"/>
      <c r="F16" s="15"/>
      <c r="G16" s="3"/>
      <c r="H16" s="9"/>
      <c r="I16" s="50"/>
      <c r="J16" s="3"/>
      <c r="K16" s="3"/>
      <c r="L16" s="3"/>
      <c r="M16" s="3"/>
      <c r="N16" s="15"/>
    </row>
    <row r="17" spans="1:14" s="5" customFormat="1" ht="37.5" customHeight="1">
      <c r="A17" s="37" t="s">
        <v>917</v>
      </c>
      <c r="B17" s="15">
        <v>1574276.8850000002</v>
      </c>
      <c r="C17" s="240" t="s">
        <v>851</v>
      </c>
      <c r="D17" s="9">
        <v>181910.098</v>
      </c>
      <c r="E17" s="240" t="s">
        <v>851</v>
      </c>
      <c r="F17" s="15">
        <v>2523743.005</v>
      </c>
      <c r="G17" s="3">
        <v>211451.62</v>
      </c>
      <c r="H17" s="242" t="s">
        <v>851</v>
      </c>
      <c r="I17" s="50">
        <v>21106.842</v>
      </c>
      <c r="J17" s="240" t="s">
        <v>851</v>
      </c>
      <c r="K17" s="240" t="s">
        <v>851</v>
      </c>
      <c r="L17" s="240" t="s">
        <v>953</v>
      </c>
      <c r="M17" s="240" t="s">
        <v>953</v>
      </c>
      <c r="N17" s="15">
        <v>124250.801</v>
      </c>
    </row>
    <row r="18" spans="1:14" s="14" customFormat="1" ht="12" customHeight="1">
      <c r="A18" s="43"/>
      <c r="B18" s="15"/>
      <c r="C18" s="3"/>
      <c r="D18" s="9"/>
      <c r="E18" s="3"/>
      <c r="F18" s="15"/>
      <c r="G18" s="3"/>
      <c r="H18" s="9"/>
      <c r="I18" s="50"/>
      <c r="J18" s="3"/>
      <c r="K18" s="3"/>
      <c r="L18" s="3"/>
      <c r="M18" s="3"/>
      <c r="N18" s="15"/>
    </row>
    <row r="19" spans="1:14" s="5" customFormat="1" ht="37.5" customHeight="1">
      <c r="A19" s="37" t="s">
        <v>918</v>
      </c>
      <c r="B19" s="15">
        <v>1533807</v>
      </c>
      <c r="C19" s="240" t="s">
        <v>953</v>
      </c>
      <c r="D19" s="9">
        <v>176929</v>
      </c>
      <c r="E19" s="240" t="s">
        <v>953</v>
      </c>
      <c r="F19" s="15">
        <v>2478212</v>
      </c>
      <c r="G19" s="3">
        <v>226439</v>
      </c>
      <c r="H19" s="242" t="s">
        <v>953</v>
      </c>
      <c r="I19" s="50">
        <v>13784</v>
      </c>
      <c r="J19" s="240" t="s">
        <v>953</v>
      </c>
      <c r="K19" s="240" t="s">
        <v>953</v>
      </c>
      <c r="L19" s="240" t="s">
        <v>953</v>
      </c>
      <c r="M19" s="240" t="s">
        <v>953</v>
      </c>
      <c r="N19" s="15">
        <v>125199</v>
      </c>
    </row>
    <row r="20" spans="1:14" s="14" customFormat="1" ht="12" customHeight="1">
      <c r="A20" s="43"/>
      <c r="B20" s="15"/>
      <c r="C20" s="3"/>
      <c r="D20" s="9"/>
      <c r="E20" s="3"/>
      <c r="F20" s="15"/>
      <c r="G20" s="3"/>
      <c r="H20" s="9"/>
      <c r="I20" s="50"/>
      <c r="J20" s="3"/>
      <c r="K20" s="3"/>
      <c r="L20" s="3"/>
      <c r="M20" s="3"/>
      <c r="N20" s="15"/>
    </row>
    <row r="21" spans="1:14" s="5" customFormat="1" ht="37.5" customHeight="1">
      <c r="A21" s="37" t="s">
        <v>919</v>
      </c>
      <c r="B21" s="15">
        <v>1840517.519</v>
      </c>
      <c r="C21" s="240" t="s">
        <v>953</v>
      </c>
      <c r="D21" s="3">
        <v>87722.857</v>
      </c>
      <c r="E21" s="240" t="s">
        <v>953</v>
      </c>
      <c r="F21" s="15">
        <v>1826476.376</v>
      </c>
      <c r="G21" s="3">
        <v>268408.748</v>
      </c>
      <c r="H21" s="242" t="s">
        <v>953</v>
      </c>
      <c r="I21" s="50">
        <v>9020.89</v>
      </c>
      <c r="J21" s="240" t="s">
        <v>953</v>
      </c>
      <c r="K21" s="240" t="s">
        <v>953</v>
      </c>
      <c r="L21" s="240" t="s">
        <v>953</v>
      </c>
      <c r="M21" s="240" t="s">
        <v>953</v>
      </c>
      <c r="N21" s="15">
        <v>124871.742</v>
      </c>
    </row>
    <row r="22" spans="1:14" s="1" customFormat="1" ht="12" customHeight="1">
      <c r="A22" s="43"/>
      <c r="B22" s="15"/>
      <c r="C22" s="3"/>
      <c r="D22" s="9"/>
      <c r="E22" s="3"/>
      <c r="F22" s="15"/>
      <c r="G22" s="3"/>
      <c r="H22" s="9"/>
      <c r="I22" s="50"/>
      <c r="J22" s="3"/>
      <c r="K22" s="3"/>
      <c r="L22" s="3"/>
      <c r="M22" s="3"/>
      <c r="N22" s="15"/>
    </row>
    <row r="23" spans="1:14" s="5" customFormat="1" ht="37.5" customHeight="1">
      <c r="A23" s="37" t="s">
        <v>613</v>
      </c>
      <c r="B23" s="15">
        <f>1933844.047+97245.938</f>
        <v>2031089.985</v>
      </c>
      <c r="C23" s="240" t="s">
        <v>953</v>
      </c>
      <c r="D23" s="3">
        <f>76971.373+76581.327</f>
        <v>153552.7</v>
      </c>
      <c r="E23" s="240" t="s">
        <v>953</v>
      </c>
      <c r="F23" s="15">
        <f>1816099.676+339055.48</f>
        <v>2155155.156</v>
      </c>
      <c r="G23" s="3">
        <v>267434.749</v>
      </c>
      <c r="H23" s="242" t="s">
        <v>953</v>
      </c>
      <c r="I23" s="50">
        <v>10220.658</v>
      </c>
      <c r="J23" s="240" t="s">
        <v>953</v>
      </c>
      <c r="K23" s="240" t="s">
        <v>953</v>
      </c>
      <c r="L23" s="240" t="s">
        <v>953</v>
      </c>
      <c r="M23" s="240" t="s">
        <v>953</v>
      </c>
      <c r="N23" s="15">
        <v>114174.161</v>
      </c>
    </row>
    <row r="24" spans="1:14" s="1" customFormat="1" ht="12" customHeight="1">
      <c r="A24" s="43"/>
      <c r="B24" s="15"/>
      <c r="C24" s="3"/>
      <c r="D24" s="9"/>
      <c r="E24" s="3"/>
      <c r="F24" s="15"/>
      <c r="G24" s="3"/>
      <c r="H24" s="9"/>
      <c r="I24" s="50"/>
      <c r="J24" s="3"/>
      <c r="K24" s="3"/>
      <c r="L24" s="3"/>
      <c r="M24" s="3"/>
      <c r="N24" s="15"/>
    </row>
    <row r="25" spans="1:14" s="5" customFormat="1" ht="37.5" customHeight="1" thickBot="1">
      <c r="A25" s="46" t="s">
        <v>961</v>
      </c>
      <c r="B25" s="33">
        <v>2069810</v>
      </c>
      <c r="C25" s="243" t="s">
        <v>953</v>
      </c>
      <c r="D25" s="8">
        <v>119262</v>
      </c>
      <c r="E25" s="243" t="s">
        <v>953</v>
      </c>
      <c r="F25" s="33">
        <v>2218337</v>
      </c>
      <c r="G25" s="8">
        <v>297969</v>
      </c>
      <c r="H25" s="244" t="s">
        <v>953</v>
      </c>
      <c r="I25" s="8">
        <v>11383</v>
      </c>
      <c r="J25" s="243" t="s">
        <v>953</v>
      </c>
      <c r="K25" s="243" t="s">
        <v>953</v>
      </c>
      <c r="L25" s="243" t="s">
        <v>953</v>
      </c>
      <c r="M25" s="243" t="s">
        <v>953</v>
      </c>
      <c r="N25" s="33">
        <v>103738</v>
      </c>
    </row>
    <row r="26" spans="2:14" s="71" customFormat="1" ht="14.25" customHeight="1">
      <c r="B26" s="70"/>
      <c r="M26" s="72"/>
      <c r="N26" s="72"/>
    </row>
  </sheetData>
  <mergeCells count="4">
    <mergeCell ref="A3:G3"/>
    <mergeCell ref="A2:G2"/>
    <mergeCell ref="H2:N2"/>
    <mergeCell ref="H3:N3"/>
  </mergeCells>
  <printOptions/>
  <pageMargins left="1.1811023622047245" right="1.1811023622047245" top="1.5748031496062993" bottom="1.5748031496062993" header="0.5118110236220472" footer="0.9055118110236221"/>
  <pageSetup firstPageNumber="298"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22.xml><?xml version="1.0" encoding="utf-8"?>
<worksheet xmlns="http://schemas.openxmlformats.org/spreadsheetml/2006/main" xmlns:r="http://schemas.openxmlformats.org/officeDocument/2006/relationships">
  <sheetPr>
    <tabColor indexed="17"/>
  </sheetPr>
  <dimension ref="A1:G25"/>
  <sheetViews>
    <sheetView showGridLines="0" zoomScale="120" zoomScaleNormal="120" workbookViewId="0" topLeftCell="A1">
      <selection activeCell="A1" sqref="A1"/>
    </sheetView>
  </sheetViews>
  <sheetFormatPr defaultColWidth="9.00390625" defaultRowHeight="16.5"/>
  <cols>
    <col min="1" max="1" width="14.125" style="13" customWidth="1"/>
    <col min="2" max="3" width="12.125" style="13" customWidth="1"/>
    <col min="4" max="4" width="12.625" style="13" customWidth="1"/>
    <col min="5" max="5" width="12.125" style="13" customWidth="1"/>
    <col min="6" max="6" width="11.625" style="13" customWidth="1"/>
    <col min="7" max="16384" width="9.00390625" style="13" customWidth="1"/>
  </cols>
  <sheetData>
    <row r="1" spans="1:2" s="14" customFormat="1" ht="18" customHeight="1">
      <c r="A1" s="177" t="s">
        <v>514</v>
      </c>
      <c r="B1" s="26"/>
    </row>
    <row r="2" spans="1:6" s="140" customFormat="1" ht="37.5" customHeight="1">
      <c r="A2" s="432" t="s">
        <v>101</v>
      </c>
      <c r="B2" s="433"/>
      <c r="C2" s="433"/>
      <c r="D2" s="433"/>
      <c r="E2" s="433"/>
      <c r="F2" s="433"/>
    </row>
    <row r="3" spans="1:6" s="14" customFormat="1" ht="15" customHeight="1">
      <c r="A3" s="36"/>
      <c r="F3" s="304" t="s">
        <v>99</v>
      </c>
    </row>
    <row r="4" spans="1:6" s="14" customFormat="1" ht="15" customHeight="1" thickBot="1">
      <c r="A4" s="6"/>
      <c r="B4" s="15"/>
      <c r="C4" s="15"/>
      <c r="D4" s="15"/>
      <c r="F4" s="25" t="s">
        <v>803</v>
      </c>
    </row>
    <row r="5" spans="1:6" s="14" customFormat="1" ht="33.75" customHeight="1">
      <c r="A5" s="135"/>
      <c r="B5" s="454" t="s">
        <v>85</v>
      </c>
      <c r="C5" s="490" t="s">
        <v>86</v>
      </c>
      <c r="D5" s="490" t="s">
        <v>87</v>
      </c>
      <c r="E5" s="488" t="s">
        <v>88</v>
      </c>
      <c r="F5" s="410"/>
    </row>
    <row r="6" spans="1:7" s="14" customFormat="1" ht="33.75" customHeight="1">
      <c r="A6" s="282" t="s">
        <v>89</v>
      </c>
      <c r="B6" s="489"/>
      <c r="C6" s="491"/>
      <c r="D6" s="491"/>
      <c r="E6" s="306" t="s">
        <v>90</v>
      </c>
      <c r="F6" s="300" t="s">
        <v>787</v>
      </c>
      <c r="G6" s="1"/>
    </row>
    <row r="7" spans="1:7" s="14" customFormat="1" ht="33.75" customHeight="1" thickBot="1">
      <c r="A7" s="138"/>
      <c r="B7" s="38" t="s">
        <v>788</v>
      </c>
      <c r="C7" s="12" t="s">
        <v>789</v>
      </c>
      <c r="D7" s="12" t="s">
        <v>790</v>
      </c>
      <c r="E7" s="39" t="s">
        <v>791</v>
      </c>
      <c r="F7" s="40" t="s">
        <v>680</v>
      </c>
      <c r="G7" s="1"/>
    </row>
    <row r="8" spans="1:6" s="14" customFormat="1" ht="31.5" customHeight="1">
      <c r="A8" s="309" t="s">
        <v>91</v>
      </c>
      <c r="B8" s="399">
        <f>34667051830/1000</f>
        <v>34667051.83</v>
      </c>
      <c r="C8" s="395" t="s">
        <v>822</v>
      </c>
      <c r="D8" s="400">
        <f>SUM(B8:C8)</f>
        <v>34667051.83</v>
      </c>
      <c r="E8" s="395" t="s">
        <v>822</v>
      </c>
      <c r="F8" s="396" t="s">
        <v>822</v>
      </c>
    </row>
    <row r="9" spans="1:6" s="14" customFormat="1" ht="31.5" customHeight="1">
      <c r="A9" s="170" t="s">
        <v>92</v>
      </c>
      <c r="B9" s="399">
        <f>36258928502/1000</f>
        <v>36258928.502</v>
      </c>
      <c r="C9" s="400">
        <f>983652145/1000</f>
        <v>983652.145</v>
      </c>
      <c r="D9" s="400">
        <f>SUM(B9:C9)</f>
        <v>37242580.647</v>
      </c>
      <c r="E9" s="400">
        <f>D9-D8</f>
        <v>2575528.8170000017</v>
      </c>
      <c r="F9" s="401">
        <f>E9/D8*100</f>
        <v>7.429327505638087</v>
      </c>
    </row>
    <row r="10" spans="1:6" s="1" customFormat="1" ht="45" customHeight="1">
      <c r="A10" s="165" t="s">
        <v>100</v>
      </c>
      <c r="B10" s="399">
        <f>54721535283/1000</f>
        <v>54721535.283</v>
      </c>
      <c r="C10" s="395" t="s">
        <v>913</v>
      </c>
      <c r="D10" s="400">
        <f>SUM(B10:C10)</f>
        <v>54721535.283</v>
      </c>
      <c r="E10" s="400">
        <f>D10-D9</f>
        <v>17478954.636</v>
      </c>
      <c r="F10" s="401">
        <f>E10/D9*100</f>
        <v>46.93271608021068</v>
      </c>
    </row>
    <row r="11" spans="1:6" s="1" customFormat="1" ht="12" customHeight="1">
      <c r="A11" s="165"/>
      <c r="B11" s="399"/>
      <c r="C11" s="400"/>
      <c r="D11" s="400"/>
      <c r="E11" s="400"/>
      <c r="F11" s="401"/>
    </row>
    <row r="12" spans="1:6" s="14" customFormat="1" ht="31.5" customHeight="1">
      <c r="A12" s="170" t="s">
        <v>219</v>
      </c>
      <c r="B12" s="399">
        <f>36744769487/1000</f>
        <v>36744769.487</v>
      </c>
      <c r="C12" s="395" t="s">
        <v>913</v>
      </c>
      <c r="D12" s="400">
        <f>SUM(B12:C12)</f>
        <v>36744769.487</v>
      </c>
      <c r="E12" s="400">
        <f>D12-D10</f>
        <v>-17976765.795999996</v>
      </c>
      <c r="F12" s="401">
        <f>E12/D10*100</f>
        <v>-32.851354961133055</v>
      </c>
    </row>
    <row r="13" spans="1:6" s="14" customFormat="1" ht="31.5" customHeight="1">
      <c r="A13" s="170" t="s">
        <v>221</v>
      </c>
      <c r="B13" s="399">
        <f>31679745601/1000</f>
        <v>31679745.601</v>
      </c>
      <c r="C13" s="400">
        <f>11852649399/1000</f>
        <v>11852649.399</v>
      </c>
      <c r="D13" s="400">
        <f>SUM(B13:C13)</f>
        <v>43532395</v>
      </c>
      <c r="E13" s="400">
        <f>D13-D12</f>
        <v>6787625.512999997</v>
      </c>
      <c r="F13" s="401">
        <f>E13/D12*100</f>
        <v>18.4723584002926</v>
      </c>
    </row>
    <row r="14" spans="1:6" s="1" customFormat="1" ht="31.5" customHeight="1">
      <c r="A14" s="170" t="s">
        <v>223</v>
      </c>
      <c r="B14" s="399">
        <v>41615855</v>
      </c>
      <c r="C14" s="395" t="s">
        <v>913</v>
      </c>
      <c r="D14" s="400">
        <f>SUM(B14:C14)</f>
        <v>41615855</v>
      </c>
      <c r="E14" s="400">
        <f>D14-D13</f>
        <v>-1916540</v>
      </c>
      <c r="F14" s="401">
        <f>E14/D13*100</f>
        <v>-4.402560438037007</v>
      </c>
    </row>
    <row r="15" spans="1:6" s="1" customFormat="1" ht="12" customHeight="1">
      <c r="A15" s="170"/>
      <c r="B15" s="399"/>
      <c r="C15" s="400"/>
      <c r="D15" s="400"/>
      <c r="E15" s="400"/>
      <c r="F15" s="401"/>
    </row>
    <row r="16" spans="1:6" s="1" customFormat="1" ht="31.5" customHeight="1">
      <c r="A16" s="170" t="s">
        <v>93</v>
      </c>
      <c r="B16" s="399">
        <v>47639407</v>
      </c>
      <c r="C16" s="395" t="s">
        <v>913</v>
      </c>
      <c r="D16" s="400">
        <f>SUM(B16:C16)</f>
        <v>47639407</v>
      </c>
      <c r="E16" s="400">
        <f>D16-D14</f>
        <v>6023552</v>
      </c>
      <c r="F16" s="401">
        <f>E16/D14*100</f>
        <v>14.474175767865397</v>
      </c>
    </row>
    <row r="17" spans="1:6" s="1" customFormat="1" ht="31.5" customHeight="1">
      <c r="A17" s="170" t="s">
        <v>227</v>
      </c>
      <c r="B17" s="399">
        <v>47885960</v>
      </c>
      <c r="C17" s="397" t="s">
        <v>913</v>
      </c>
      <c r="D17" s="402">
        <f>SUM(B17:C17)</f>
        <v>47885960</v>
      </c>
      <c r="E17" s="400">
        <f>D17-D16</f>
        <v>246553</v>
      </c>
      <c r="F17" s="401">
        <f>E17/D16*100</f>
        <v>0.517540027313942</v>
      </c>
    </row>
    <row r="18" spans="1:6" s="14" customFormat="1" ht="31.5" customHeight="1">
      <c r="A18" s="170" t="s">
        <v>229</v>
      </c>
      <c r="B18" s="399">
        <v>48077223</v>
      </c>
      <c r="C18" s="397" t="s">
        <v>913</v>
      </c>
      <c r="D18" s="402">
        <f>SUM(B18:C18)</f>
        <v>48077223</v>
      </c>
      <c r="E18" s="400">
        <f>D18-D17</f>
        <v>191263</v>
      </c>
      <c r="F18" s="401">
        <f>E18/D17*100</f>
        <v>0.3994135232957635</v>
      </c>
    </row>
    <row r="19" spans="1:6" s="14" customFormat="1" ht="12" customHeight="1">
      <c r="A19" s="170"/>
      <c r="B19" s="399"/>
      <c r="C19" s="402"/>
      <c r="D19" s="402"/>
      <c r="E19" s="400"/>
      <c r="F19" s="401"/>
    </row>
    <row r="20" spans="1:6" s="1" customFormat="1" ht="31.5" customHeight="1">
      <c r="A20" s="170" t="s">
        <v>231</v>
      </c>
      <c r="B20" s="399">
        <v>45882632</v>
      </c>
      <c r="C20" s="397" t="s">
        <v>913</v>
      </c>
      <c r="D20" s="402">
        <f>SUM(B20:C20)</f>
        <v>45882632</v>
      </c>
      <c r="E20" s="400">
        <f>D20-D18</f>
        <v>-2194591</v>
      </c>
      <c r="F20" s="401">
        <f>E20/D18*100</f>
        <v>-4.56472080344574</v>
      </c>
    </row>
    <row r="21" spans="1:6" s="1" customFormat="1" ht="31.5" customHeight="1" thickBot="1">
      <c r="A21" s="171" t="s">
        <v>94</v>
      </c>
      <c r="B21" s="403">
        <v>48105121</v>
      </c>
      <c r="C21" s="398" t="s">
        <v>913</v>
      </c>
      <c r="D21" s="404">
        <f>SUM(B21:C21)</f>
        <v>48105121</v>
      </c>
      <c r="E21" s="405">
        <f>D21-D20</f>
        <v>2222489</v>
      </c>
      <c r="F21" s="406">
        <f>E21/D20*100</f>
        <v>4.843856821465691</v>
      </c>
    </row>
    <row r="22" spans="1:6" s="14" customFormat="1" ht="14.25" customHeight="1">
      <c r="A22" s="407" t="s">
        <v>95</v>
      </c>
      <c r="B22" s="136"/>
      <c r="C22" s="136"/>
      <c r="D22" s="136"/>
      <c r="E22" s="136"/>
      <c r="F22" s="136"/>
    </row>
    <row r="23" spans="1:6" s="14" customFormat="1" ht="14.25" customHeight="1">
      <c r="A23" s="407" t="s">
        <v>96</v>
      </c>
      <c r="B23" s="136"/>
      <c r="C23" s="136"/>
      <c r="D23" s="136"/>
      <c r="E23" s="136"/>
      <c r="F23" s="136"/>
    </row>
    <row r="24" s="14" customFormat="1" ht="14.25" customHeight="1">
      <c r="A24" s="79" t="s">
        <v>97</v>
      </c>
    </row>
    <row r="25" s="14" customFormat="1" ht="14.25" customHeight="1">
      <c r="A25" s="79" t="s">
        <v>98</v>
      </c>
    </row>
  </sheetData>
  <mergeCells count="5">
    <mergeCell ref="A2:F2"/>
    <mergeCell ref="E5:F5"/>
    <mergeCell ref="B5:B6"/>
    <mergeCell ref="C5:C6"/>
    <mergeCell ref="D5:D6"/>
  </mergeCells>
  <printOptions/>
  <pageMargins left="1.1811023622047245" right="1.1811023622047245" top="1.5748031496062993" bottom="1.5748031496062993" header="0.5118110236220472" footer="0.9055118110236221"/>
  <pageSetup firstPageNumber="300" useFirstPageNumber="1" horizontalDpi="600" verticalDpi="600" orientation="portrait" paperSize="9" r:id="rId2"/>
  <headerFooter alignWithMargins="0">
    <oddFooter>&amp;C&amp;"華康中圓體,標準"&amp;11‧&amp;"Times New Roman,標準"&amp;P&amp;"華康中圓體,標準"‧</oddFooter>
  </headerFooter>
  <drawing r:id="rId1"/>
</worksheet>
</file>

<file path=xl/worksheets/sheet3.xml><?xml version="1.0" encoding="utf-8"?>
<worksheet xmlns="http://schemas.openxmlformats.org/spreadsheetml/2006/main" xmlns:r="http://schemas.openxmlformats.org/officeDocument/2006/relationships">
  <sheetPr>
    <tabColor indexed="17"/>
  </sheetPr>
  <dimension ref="A1:N40"/>
  <sheetViews>
    <sheetView showGridLines="0" zoomScale="120" zoomScaleNormal="120" workbookViewId="0" topLeftCell="A1">
      <selection activeCell="A1" sqref="A1"/>
    </sheetView>
  </sheetViews>
  <sheetFormatPr defaultColWidth="9.00390625" defaultRowHeight="16.5"/>
  <cols>
    <col min="1" max="1" width="11.125" style="13" customWidth="1"/>
    <col min="2" max="2" width="13.625" style="13" customWidth="1"/>
    <col min="3" max="4" width="8.625" style="13" customWidth="1"/>
    <col min="5" max="5" width="14.625" style="13" customWidth="1"/>
    <col min="6" max="6" width="10.625" style="13" customWidth="1"/>
    <col min="7" max="7" width="8.625" style="13" customWidth="1"/>
    <col min="8" max="9" width="12.375" style="13" customWidth="1"/>
    <col min="10" max="10" width="13.625" style="13" customWidth="1"/>
    <col min="11" max="13" width="12.375" style="13" customWidth="1"/>
    <col min="14" max="16384" width="9.00390625" style="13" customWidth="1"/>
  </cols>
  <sheetData>
    <row r="1" spans="1:13" s="14" customFormat="1" ht="19.5" customHeight="1">
      <c r="A1" s="177" t="s">
        <v>823</v>
      </c>
      <c r="B1" s="26"/>
      <c r="C1" s="26"/>
      <c r="M1" s="49" t="s">
        <v>833</v>
      </c>
    </row>
    <row r="2" spans="1:14" s="16" customFormat="1" ht="24" customHeight="1">
      <c r="A2" s="434" t="s">
        <v>563</v>
      </c>
      <c r="B2" s="433"/>
      <c r="C2" s="433"/>
      <c r="D2" s="433"/>
      <c r="E2" s="433"/>
      <c r="F2" s="433"/>
      <c r="G2" s="433"/>
      <c r="H2" s="433" t="s">
        <v>564</v>
      </c>
      <c r="I2" s="433"/>
      <c r="J2" s="433"/>
      <c r="K2" s="433"/>
      <c r="L2" s="433"/>
      <c r="M2" s="433"/>
      <c r="N2" s="44"/>
    </row>
    <row r="3" spans="1:13" s="367" customFormat="1" ht="18" customHeight="1">
      <c r="A3" s="438" t="s">
        <v>821</v>
      </c>
      <c r="B3" s="439"/>
      <c r="C3" s="439"/>
      <c r="D3" s="439"/>
      <c r="E3" s="439"/>
      <c r="F3" s="439"/>
      <c r="G3" s="439"/>
      <c r="H3" s="439" t="s">
        <v>820</v>
      </c>
      <c r="I3" s="439"/>
      <c r="J3" s="439"/>
      <c r="K3" s="439"/>
      <c r="L3" s="439"/>
      <c r="M3" s="439"/>
    </row>
    <row r="4" spans="1:13" s="21" customFormat="1" ht="15" customHeight="1" thickBot="1">
      <c r="A4" s="34"/>
      <c r="B4" s="34"/>
      <c r="C4" s="30"/>
      <c r="D4" s="30"/>
      <c r="E4" s="30"/>
      <c r="F4" s="30"/>
      <c r="G4" s="259" t="s">
        <v>847</v>
      </c>
      <c r="H4" s="30"/>
      <c r="I4" s="30"/>
      <c r="J4" s="30"/>
      <c r="K4" s="65"/>
      <c r="L4" s="65"/>
      <c r="M4" s="41" t="s">
        <v>848</v>
      </c>
    </row>
    <row r="5" spans="1:13" s="21" customFormat="1" ht="25.5" customHeight="1">
      <c r="A5" s="440" t="s">
        <v>580</v>
      </c>
      <c r="B5" s="441"/>
      <c r="C5" s="250" t="s">
        <v>581</v>
      </c>
      <c r="D5" s="251" t="s">
        <v>582</v>
      </c>
      <c r="E5" s="252" t="s">
        <v>583</v>
      </c>
      <c r="F5" s="252" t="s">
        <v>584</v>
      </c>
      <c r="G5" s="251" t="s">
        <v>585</v>
      </c>
      <c r="H5" s="253" t="s">
        <v>586</v>
      </c>
      <c r="I5" s="251" t="s">
        <v>587</v>
      </c>
      <c r="J5" s="252" t="s">
        <v>588</v>
      </c>
      <c r="K5" s="252" t="s">
        <v>589</v>
      </c>
      <c r="L5" s="252" t="s">
        <v>590</v>
      </c>
      <c r="M5" s="254" t="s">
        <v>591</v>
      </c>
    </row>
    <row r="6" spans="1:13" s="45" customFormat="1" ht="39.75" customHeight="1" thickBot="1">
      <c r="A6" s="436" t="s">
        <v>736</v>
      </c>
      <c r="B6" s="437"/>
      <c r="C6" s="17" t="s">
        <v>566</v>
      </c>
      <c r="D6" s="18" t="s">
        <v>567</v>
      </c>
      <c r="E6" s="18" t="s">
        <v>568</v>
      </c>
      <c r="F6" s="18" t="s">
        <v>569</v>
      </c>
      <c r="G6" s="18" t="s">
        <v>570</v>
      </c>
      <c r="H6" s="19" t="s">
        <v>571</v>
      </c>
      <c r="I6" s="18" t="s">
        <v>572</v>
      </c>
      <c r="J6" s="18" t="s">
        <v>573</v>
      </c>
      <c r="K6" s="18" t="s">
        <v>574</v>
      </c>
      <c r="L6" s="18" t="s">
        <v>575</v>
      </c>
      <c r="M6" s="20" t="s">
        <v>576</v>
      </c>
    </row>
    <row r="7" spans="1:13" s="21" customFormat="1" ht="16.5" customHeight="1">
      <c r="A7" s="29" t="s">
        <v>577</v>
      </c>
      <c r="B7" s="255" t="s">
        <v>578</v>
      </c>
      <c r="C7" s="260">
        <f>SUM(D7:M7)</f>
        <v>27503768</v>
      </c>
      <c r="D7" s="215">
        <v>13954420</v>
      </c>
      <c r="E7" s="222" t="s">
        <v>579</v>
      </c>
      <c r="F7" s="215">
        <v>655166</v>
      </c>
      <c r="G7" s="215">
        <v>884659</v>
      </c>
      <c r="H7" s="223" t="s">
        <v>579</v>
      </c>
      <c r="I7" s="261">
        <v>1417301</v>
      </c>
      <c r="J7" s="222" t="s">
        <v>579</v>
      </c>
      <c r="K7" s="215">
        <v>10348109</v>
      </c>
      <c r="L7" s="261">
        <v>500</v>
      </c>
      <c r="M7" s="217">
        <v>243613</v>
      </c>
    </row>
    <row r="8" spans="1:13" s="21" customFormat="1" ht="22.5" customHeight="1">
      <c r="A8" s="29">
        <v>1998</v>
      </c>
      <c r="B8" s="255" t="s">
        <v>837</v>
      </c>
      <c r="C8" s="260">
        <f>SUM(D8:M8)</f>
        <v>27503768</v>
      </c>
      <c r="D8" s="215">
        <v>13954420</v>
      </c>
      <c r="E8" s="222" t="s">
        <v>838</v>
      </c>
      <c r="F8" s="215">
        <v>655166</v>
      </c>
      <c r="G8" s="215">
        <v>884659</v>
      </c>
      <c r="H8" s="223" t="s">
        <v>838</v>
      </c>
      <c r="I8" s="261">
        <v>1417301</v>
      </c>
      <c r="J8" s="222" t="s">
        <v>838</v>
      </c>
      <c r="K8" s="215">
        <v>10348109</v>
      </c>
      <c r="L8" s="261">
        <v>500</v>
      </c>
      <c r="M8" s="217">
        <v>243613</v>
      </c>
    </row>
    <row r="9" spans="1:13" s="21" customFormat="1" ht="6" customHeight="1">
      <c r="A9" s="29"/>
      <c r="B9" s="48"/>
      <c r="C9" s="260"/>
      <c r="D9" s="215"/>
      <c r="E9" s="215"/>
      <c r="F9" s="215"/>
      <c r="G9" s="215"/>
      <c r="H9" s="216"/>
      <c r="I9" s="261"/>
      <c r="J9" s="215"/>
      <c r="K9" s="215"/>
      <c r="L9" s="261"/>
      <c r="M9" s="217"/>
    </row>
    <row r="10" spans="1:13" s="21" customFormat="1" ht="16.5" customHeight="1">
      <c r="A10" s="29" t="s">
        <v>553</v>
      </c>
      <c r="B10" s="255" t="s">
        <v>846</v>
      </c>
      <c r="C10" s="260">
        <f>SUM(D10:M10)</f>
        <v>28425710</v>
      </c>
      <c r="D10" s="215">
        <v>15699717</v>
      </c>
      <c r="E10" s="222" t="s">
        <v>838</v>
      </c>
      <c r="F10" s="215">
        <v>811830</v>
      </c>
      <c r="G10" s="215">
        <v>964845</v>
      </c>
      <c r="H10" s="223" t="s">
        <v>838</v>
      </c>
      <c r="I10" s="215">
        <v>768254</v>
      </c>
      <c r="J10" s="222" t="s">
        <v>838</v>
      </c>
      <c r="K10" s="215">
        <v>10001118</v>
      </c>
      <c r="L10" s="215">
        <v>14000</v>
      </c>
      <c r="M10" s="217">
        <f>165946</f>
        <v>165946</v>
      </c>
    </row>
    <row r="11" spans="1:13" s="21" customFormat="1" ht="22.5" customHeight="1">
      <c r="A11" s="29">
        <v>1999</v>
      </c>
      <c r="B11" s="255" t="s">
        <v>837</v>
      </c>
      <c r="C11" s="260">
        <f>SUM(D11:M11)</f>
        <v>29459781</v>
      </c>
      <c r="D11" s="215">
        <v>16896032</v>
      </c>
      <c r="E11" s="222" t="s">
        <v>838</v>
      </c>
      <c r="F11" s="215">
        <v>811891</v>
      </c>
      <c r="G11" s="215">
        <v>996197</v>
      </c>
      <c r="H11" s="223" t="s">
        <v>838</v>
      </c>
      <c r="I11" s="261">
        <v>1397835</v>
      </c>
      <c r="J11" s="222" t="s">
        <v>838</v>
      </c>
      <c r="K11" s="215">
        <v>8933855</v>
      </c>
      <c r="L11" s="261">
        <v>256430</v>
      </c>
      <c r="M11" s="217">
        <v>167541</v>
      </c>
    </row>
    <row r="12" spans="1:13" s="21" customFormat="1" ht="6" customHeight="1">
      <c r="A12" s="29"/>
      <c r="B12" s="48"/>
      <c r="C12" s="260"/>
      <c r="D12" s="215"/>
      <c r="E12" s="215"/>
      <c r="F12" s="215"/>
      <c r="G12" s="215"/>
      <c r="H12" s="216"/>
      <c r="I12" s="261"/>
      <c r="J12" s="261"/>
      <c r="K12" s="215"/>
      <c r="L12" s="261"/>
      <c r="M12" s="217"/>
    </row>
    <row r="13" spans="1:13" s="21" customFormat="1" ht="16.5" customHeight="1">
      <c r="A13" s="435" t="s">
        <v>554</v>
      </c>
      <c r="B13" s="255" t="s">
        <v>846</v>
      </c>
      <c r="C13" s="260">
        <f>SUM(D13:M13)</f>
        <v>47043138</v>
      </c>
      <c r="D13" s="215">
        <v>29546452</v>
      </c>
      <c r="E13" s="222" t="s">
        <v>838</v>
      </c>
      <c r="F13" s="215">
        <v>1366526</v>
      </c>
      <c r="G13" s="215">
        <v>1480892</v>
      </c>
      <c r="H13" s="223" t="s">
        <v>838</v>
      </c>
      <c r="I13" s="261">
        <v>1082181</v>
      </c>
      <c r="J13" s="222" t="s">
        <v>838</v>
      </c>
      <c r="K13" s="215">
        <v>13107249</v>
      </c>
      <c r="L13" s="261">
        <v>171900</v>
      </c>
      <c r="M13" s="217">
        <v>287938</v>
      </c>
    </row>
    <row r="14" spans="1:13" s="21" customFormat="1" ht="22.5" customHeight="1">
      <c r="A14" s="435"/>
      <c r="B14" s="255" t="s">
        <v>837</v>
      </c>
      <c r="C14" s="260">
        <f>SUM(D14:M14)</f>
        <v>47043138</v>
      </c>
      <c r="D14" s="215">
        <v>29546452</v>
      </c>
      <c r="E14" s="222" t="s">
        <v>838</v>
      </c>
      <c r="F14" s="215">
        <v>1366526</v>
      </c>
      <c r="G14" s="215">
        <v>1480892</v>
      </c>
      <c r="H14" s="223" t="s">
        <v>838</v>
      </c>
      <c r="I14" s="261">
        <v>1082181</v>
      </c>
      <c r="J14" s="222" t="s">
        <v>838</v>
      </c>
      <c r="K14" s="215">
        <v>13107249</v>
      </c>
      <c r="L14" s="261">
        <v>171900</v>
      </c>
      <c r="M14" s="217">
        <v>287938</v>
      </c>
    </row>
    <row r="15" spans="1:13" s="21" customFormat="1" ht="6" customHeight="1">
      <c r="A15" s="29"/>
      <c r="B15" s="48"/>
      <c r="C15" s="260"/>
      <c r="D15" s="215"/>
      <c r="E15" s="215"/>
      <c r="F15" s="215"/>
      <c r="G15" s="215"/>
      <c r="H15" s="216"/>
      <c r="I15" s="261"/>
      <c r="J15" s="215"/>
      <c r="K15" s="215"/>
      <c r="L15" s="261"/>
      <c r="M15" s="217"/>
    </row>
    <row r="16" spans="1:13" s="21" customFormat="1" ht="16.5" customHeight="1">
      <c r="A16" s="29" t="s">
        <v>555</v>
      </c>
      <c r="B16" s="255" t="s">
        <v>846</v>
      </c>
      <c r="C16" s="260">
        <f>SUM(D16:M16)</f>
        <v>30233114</v>
      </c>
      <c r="D16" s="215">
        <v>20394872</v>
      </c>
      <c r="E16" s="222" t="s">
        <v>838</v>
      </c>
      <c r="F16" s="215">
        <v>1490280</v>
      </c>
      <c r="G16" s="215">
        <f>1122892-124276</f>
        <v>998616</v>
      </c>
      <c r="H16" s="216">
        <v>124276</v>
      </c>
      <c r="I16" s="261">
        <v>118758</v>
      </c>
      <c r="J16" s="222" t="s">
        <v>838</v>
      </c>
      <c r="K16" s="215">
        <v>6669677</v>
      </c>
      <c r="L16" s="261">
        <v>4100</v>
      </c>
      <c r="M16" s="217">
        <v>432535</v>
      </c>
    </row>
    <row r="17" spans="1:13" s="21" customFormat="1" ht="22.5" customHeight="1">
      <c r="A17" s="29">
        <v>2001</v>
      </c>
      <c r="B17" s="255" t="s">
        <v>837</v>
      </c>
      <c r="C17" s="260">
        <f>SUM(D17:M17)</f>
        <v>30233114</v>
      </c>
      <c r="D17" s="215">
        <v>20394872</v>
      </c>
      <c r="E17" s="222" t="s">
        <v>838</v>
      </c>
      <c r="F17" s="215">
        <v>1490280</v>
      </c>
      <c r="G17" s="215">
        <f>1122892-124276</f>
        <v>998616</v>
      </c>
      <c r="H17" s="216">
        <v>124276</v>
      </c>
      <c r="I17" s="261">
        <v>118758</v>
      </c>
      <c r="J17" s="222" t="s">
        <v>838</v>
      </c>
      <c r="K17" s="215">
        <v>6669677</v>
      </c>
      <c r="L17" s="261">
        <v>4100</v>
      </c>
      <c r="M17" s="217">
        <v>432535</v>
      </c>
    </row>
    <row r="18" spans="1:13" s="21" customFormat="1" ht="6" customHeight="1">
      <c r="A18" s="29"/>
      <c r="B18" s="48"/>
      <c r="C18" s="260"/>
      <c r="D18" s="215"/>
      <c r="E18" s="215"/>
      <c r="F18" s="215"/>
      <c r="G18" s="215"/>
      <c r="H18" s="216"/>
      <c r="I18" s="261"/>
      <c r="J18" s="215"/>
      <c r="K18" s="215"/>
      <c r="L18" s="261"/>
      <c r="M18" s="217"/>
    </row>
    <row r="19" spans="1:13" s="21" customFormat="1" ht="16.5" customHeight="1">
      <c r="A19" s="29" t="s">
        <v>556</v>
      </c>
      <c r="B19" s="255" t="s">
        <v>846</v>
      </c>
      <c r="C19" s="260">
        <f>SUM(D19:M19)</f>
        <v>31669755</v>
      </c>
      <c r="D19" s="215">
        <v>18047692</v>
      </c>
      <c r="E19" s="222" t="s">
        <v>838</v>
      </c>
      <c r="F19" s="215">
        <v>1449669</v>
      </c>
      <c r="G19" s="215">
        <f>1067164-167340</f>
        <v>899824</v>
      </c>
      <c r="H19" s="216">
        <v>167340</v>
      </c>
      <c r="I19" s="261">
        <v>110386</v>
      </c>
      <c r="J19" s="222" t="s">
        <v>838</v>
      </c>
      <c r="K19" s="215">
        <v>10561429</v>
      </c>
      <c r="L19" s="261">
        <v>76026</v>
      </c>
      <c r="M19" s="217">
        <v>357389</v>
      </c>
    </row>
    <row r="20" spans="1:13" s="21" customFormat="1" ht="22.5" customHeight="1">
      <c r="A20" s="29">
        <v>2002</v>
      </c>
      <c r="B20" s="255" t="s">
        <v>837</v>
      </c>
      <c r="C20" s="260">
        <f>SUM(D20:M20)</f>
        <v>37537151</v>
      </c>
      <c r="D20" s="215">
        <v>20753553</v>
      </c>
      <c r="E20" s="222" t="s">
        <v>838</v>
      </c>
      <c r="F20" s="215">
        <v>1450973</v>
      </c>
      <c r="G20" s="215">
        <f>1073824-167340</f>
        <v>906484</v>
      </c>
      <c r="H20" s="216">
        <v>167340</v>
      </c>
      <c r="I20" s="261">
        <v>871274</v>
      </c>
      <c r="J20" s="222" t="s">
        <v>838</v>
      </c>
      <c r="K20" s="215">
        <v>11989289</v>
      </c>
      <c r="L20" s="261">
        <v>75769</v>
      </c>
      <c r="M20" s="217">
        <v>1322469</v>
      </c>
    </row>
    <row r="21" spans="1:13" s="21" customFormat="1" ht="6" customHeight="1">
      <c r="A21" s="29"/>
      <c r="B21" s="48"/>
      <c r="C21" s="260"/>
      <c r="D21" s="215"/>
      <c r="E21" s="215"/>
      <c r="F21" s="215"/>
      <c r="G21" s="215"/>
      <c r="H21" s="216"/>
      <c r="I21" s="261"/>
      <c r="J21" s="261"/>
      <c r="K21" s="215"/>
      <c r="L21" s="261"/>
      <c r="M21" s="217"/>
    </row>
    <row r="22" spans="1:13" s="21" customFormat="1" ht="16.5" customHeight="1">
      <c r="A22" s="29" t="s">
        <v>557</v>
      </c>
      <c r="B22" s="255" t="s">
        <v>846</v>
      </c>
      <c r="C22" s="260">
        <f>SUM(D22:M22)</f>
        <v>36186493</v>
      </c>
      <c r="D22" s="215">
        <v>19026928</v>
      </c>
      <c r="E22" s="222" t="s">
        <v>838</v>
      </c>
      <c r="F22" s="215">
        <v>1431364</v>
      </c>
      <c r="G22" s="215">
        <f>1450571-635000</f>
        <v>815571</v>
      </c>
      <c r="H22" s="216">
        <v>635000</v>
      </c>
      <c r="I22" s="261">
        <v>54891</v>
      </c>
      <c r="J22" s="222" t="s">
        <v>838</v>
      </c>
      <c r="K22" s="215">
        <v>12900723</v>
      </c>
      <c r="L22" s="261">
        <v>135224</v>
      </c>
      <c r="M22" s="217">
        <v>1186792</v>
      </c>
    </row>
    <row r="23" spans="1:13" s="21" customFormat="1" ht="22.5" customHeight="1">
      <c r="A23" s="29">
        <v>2003</v>
      </c>
      <c r="B23" s="255" t="s">
        <v>837</v>
      </c>
      <c r="C23" s="260">
        <f>SUM(D23:M23)</f>
        <v>36186493</v>
      </c>
      <c r="D23" s="215">
        <v>19026928</v>
      </c>
      <c r="E23" s="222" t="s">
        <v>838</v>
      </c>
      <c r="F23" s="215">
        <v>1431364</v>
      </c>
      <c r="G23" s="215">
        <v>815571</v>
      </c>
      <c r="H23" s="216">
        <v>635000</v>
      </c>
      <c r="I23" s="261">
        <v>54891</v>
      </c>
      <c r="J23" s="222" t="s">
        <v>838</v>
      </c>
      <c r="K23" s="215">
        <v>12900723</v>
      </c>
      <c r="L23" s="261">
        <v>135224</v>
      </c>
      <c r="M23" s="217">
        <v>1186792</v>
      </c>
    </row>
    <row r="24" spans="1:13" s="21" customFormat="1" ht="6" customHeight="1">
      <c r="A24" s="29"/>
      <c r="B24" s="48"/>
      <c r="C24" s="260"/>
      <c r="D24" s="215"/>
      <c r="E24" s="215"/>
      <c r="F24" s="215"/>
      <c r="G24" s="215"/>
      <c r="H24" s="216"/>
      <c r="I24" s="261"/>
      <c r="J24" s="215"/>
      <c r="K24" s="215"/>
      <c r="L24" s="261"/>
      <c r="M24" s="217"/>
    </row>
    <row r="25" spans="1:13" s="21" customFormat="1" ht="16.5" customHeight="1">
      <c r="A25" s="29" t="s">
        <v>558</v>
      </c>
      <c r="B25" s="255" t="s">
        <v>846</v>
      </c>
      <c r="C25" s="260">
        <f>SUM(D25:M25)</f>
        <v>43443738</v>
      </c>
      <c r="D25" s="215">
        <v>20114834</v>
      </c>
      <c r="E25" s="222" t="s">
        <v>851</v>
      </c>
      <c r="F25" s="215">
        <v>1384410</v>
      </c>
      <c r="G25" s="215">
        <v>1127760</v>
      </c>
      <c r="H25" s="223" t="s">
        <v>851</v>
      </c>
      <c r="I25" s="261">
        <v>1888762</v>
      </c>
      <c r="J25" s="222" t="s">
        <v>851</v>
      </c>
      <c r="K25" s="215">
        <v>17715992</v>
      </c>
      <c r="L25" s="261">
        <v>57080</v>
      </c>
      <c r="M25" s="217">
        <v>1154900</v>
      </c>
    </row>
    <row r="26" spans="1:13" s="21" customFormat="1" ht="22.5" customHeight="1">
      <c r="A26" s="29">
        <v>2004</v>
      </c>
      <c r="B26" s="255" t="s">
        <v>837</v>
      </c>
      <c r="C26" s="260">
        <f>SUM(D26:M26)</f>
        <v>43443738</v>
      </c>
      <c r="D26" s="215">
        <v>20114834</v>
      </c>
      <c r="E26" s="222" t="s">
        <v>851</v>
      </c>
      <c r="F26" s="215">
        <v>1384410</v>
      </c>
      <c r="G26" s="215">
        <v>1127760</v>
      </c>
      <c r="H26" s="223" t="s">
        <v>851</v>
      </c>
      <c r="I26" s="261">
        <v>1888762</v>
      </c>
      <c r="J26" s="222" t="s">
        <v>851</v>
      </c>
      <c r="K26" s="215">
        <v>17715992</v>
      </c>
      <c r="L26" s="261">
        <v>57080</v>
      </c>
      <c r="M26" s="217">
        <v>1154900</v>
      </c>
    </row>
    <row r="27" spans="1:13" s="21" customFormat="1" ht="6" customHeight="1">
      <c r="A27" s="29"/>
      <c r="B27" s="48"/>
      <c r="C27" s="260"/>
      <c r="D27" s="215"/>
      <c r="E27" s="215"/>
      <c r="F27" s="215"/>
      <c r="G27" s="215"/>
      <c r="H27" s="216"/>
      <c r="I27" s="261"/>
      <c r="J27" s="215"/>
      <c r="K27" s="215"/>
      <c r="L27" s="261"/>
      <c r="M27" s="217"/>
    </row>
    <row r="28" spans="1:13" s="21" customFormat="1" ht="16.5" customHeight="1">
      <c r="A28" s="29" t="s">
        <v>559</v>
      </c>
      <c r="B28" s="255" t="s">
        <v>846</v>
      </c>
      <c r="C28" s="260">
        <f>SUM(D28:M28)</f>
        <v>43905960</v>
      </c>
      <c r="D28" s="215">
        <v>21889168</v>
      </c>
      <c r="E28" s="222" t="s">
        <v>838</v>
      </c>
      <c r="F28" s="215">
        <v>1152227</v>
      </c>
      <c r="G28" s="215">
        <v>1287514</v>
      </c>
      <c r="H28" s="223" t="s">
        <v>838</v>
      </c>
      <c r="I28" s="261">
        <v>1681624</v>
      </c>
      <c r="J28" s="222" t="s">
        <v>838</v>
      </c>
      <c r="K28" s="215">
        <v>17638965</v>
      </c>
      <c r="L28" s="261">
        <v>93171</v>
      </c>
      <c r="M28" s="217">
        <f>19000+144291</f>
        <v>163291</v>
      </c>
    </row>
    <row r="29" spans="1:13" s="21" customFormat="1" ht="22.5" customHeight="1">
      <c r="A29" s="29">
        <v>2005</v>
      </c>
      <c r="B29" s="255" t="s">
        <v>837</v>
      </c>
      <c r="C29" s="260">
        <f>SUM(D29:M29)</f>
        <v>43905960</v>
      </c>
      <c r="D29" s="215">
        <v>21889168</v>
      </c>
      <c r="E29" s="222" t="s">
        <v>838</v>
      </c>
      <c r="F29" s="215">
        <v>1152227</v>
      </c>
      <c r="G29" s="215">
        <v>1287514</v>
      </c>
      <c r="H29" s="223" t="s">
        <v>838</v>
      </c>
      <c r="I29" s="261">
        <v>1681624</v>
      </c>
      <c r="J29" s="222" t="s">
        <v>838</v>
      </c>
      <c r="K29" s="215">
        <v>17638965</v>
      </c>
      <c r="L29" s="261">
        <v>93171</v>
      </c>
      <c r="M29" s="217">
        <v>163291</v>
      </c>
    </row>
    <row r="30" spans="1:13" s="21" customFormat="1" ht="6" customHeight="1">
      <c r="A30" s="29"/>
      <c r="B30" s="257"/>
      <c r="C30" s="260"/>
      <c r="D30" s="215"/>
      <c r="E30" s="215"/>
      <c r="F30" s="215"/>
      <c r="G30" s="215"/>
      <c r="H30" s="216"/>
      <c r="I30" s="261"/>
      <c r="J30" s="215"/>
      <c r="K30" s="215"/>
      <c r="L30" s="261"/>
      <c r="M30" s="217"/>
    </row>
    <row r="31" spans="1:13" s="21" customFormat="1" ht="16.5" customHeight="1">
      <c r="A31" s="29" t="s">
        <v>560</v>
      </c>
      <c r="B31" s="255" t="s">
        <v>846</v>
      </c>
      <c r="C31" s="260">
        <f>SUM(D31:M31)</f>
        <v>44212223</v>
      </c>
      <c r="D31" s="215">
        <v>22726219</v>
      </c>
      <c r="E31" s="222" t="s">
        <v>838</v>
      </c>
      <c r="F31" s="215">
        <v>1129160</v>
      </c>
      <c r="G31" s="215">
        <v>1278345</v>
      </c>
      <c r="H31" s="223" t="s">
        <v>838</v>
      </c>
      <c r="I31" s="261">
        <v>1152477</v>
      </c>
      <c r="J31" s="222" t="s">
        <v>838</v>
      </c>
      <c r="K31" s="215">
        <v>17722966</v>
      </c>
      <c r="L31" s="261">
        <v>30708</v>
      </c>
      <c r="M31" s="217">
        <f>29000+143348</f>
        <v>172348</v>
      </c>
    </row>
    <row r="32" spans="1:13" s="21" customFormat="1" ht="22.5" customHeight="1">
      <c r="A32" s="29">
        <v>2006</v>
      </c>
      <c r="B32" s="255" t="s">
        <v>837</v>
      </c>
      <c r="C32" s="260">
        <f>SUM(D32:M32)</f>
        <v>44212223</v>
      </c>
      <c r="D32" s="215">
        <v>22726219</v>
      </c>
      <c r="E32" s="222" t="s">
        <v>838</v>
      </c>
      <c r="F32" s="215">
        <v>1129160</v>
      </c>
      <c r="G32" s="215">
        <v>1278345</v>
      </c>
      <c r="H32" s="223" t="s">
        <v>838</v>
      </c>
      <c r="I32" s="261">
        <v>1152477</v>
      </c>
      <c r="J32" s="222" t="s">
        <v>838</v>
      </c>
      <c r="K32" s="215">
        <v>17722966</v>
      </c>
      <c r="L32" s="261">
        <v>30708</v>
      </c>
      <c r="M32" s="217">
        <v>172348</v>
      </c>
    </row>
    <row r="33" spans="1:13" s="34" customFormat="1" ht="6" customHeight="1">
      <c r="A33" s="29"/>
      <c r="B33" s="257"/>
      <c r="C33" s="260"/>
      <c r="D33" s="215"/>
      <c r="E33" s="215"/>
      <c r="F33" s="215"/>
      <c r="G33" s="215"/>
      <c r="H33" s="216"/>
      <c r="I33" s="261"/>
      <c r="J33" s="215"/>
      <c r="K33" s="215"/>
      <c r="L33" s="261"/>
      <c r="M33" s="217"/>
    </row>
    <row r="34" spans="1:13" s="21" customFormat="1" ht="16.5" customHeight="1">
      <c r="A34" s="29" t="s">
        <v>561</v>
      </c>
      <c r="B34" s="255" t="s">
        <v>846</v>
      </c>
      <c r="C34" s="260">
        <f>SUM(D34:M34)</f>
        <v>45882632</v>
      </c>
      <c r="D34" s="215">
        <v>22907558</v>
      </c>
      <c r="E34" s="222" t="s">
        <v>838</v>
      </c>
      <c r="F34" s="215">
        <v>1201174</v>
      </c>
      <c r="G34" s="215">
        <v>1336599</v>
      </c>
      <c r="H34" s="223" t="s">
        <v>838</v>
      </c>
      <c r="I34" s="261">
        <v>413854</v>
      </c>
      <c r="J34" s="215">
        <v>1000000</v>
      </c>
      <c r="K34" s="215">
        <v>18798157</v>
      </c>
      <c r="L34" s="261">
        <v>61924</v>
      </c>
      <c r="M34" s="217">
        <f>27000+136366</f>
        <v>163366</v>
      </c>
    </row>
    <row r="35" spans="1:13" s="21" customFormat="1" ht="22.5" customHeight="1">
      <c r="A35" s="29">
        <v>2007</v>
      </c>
      <c r="B35" s="255" t="s">
        <v>837</v>
      </c>
      <c r="C35" s="260">
        <f>SUM(D35:M35)</f>
        <v>45882632</v>
      </c>
      <c r="D35" s="215">
        <v>22907558</v>
      </c>
      <c r="E35" s="222" t="s">
        <v>838</v>
      </c>
      <c r="F35" s="215">
        <v>1201174</v>
      </c>
      <c r="G35" s="215">
        <v>1336599</v>
      </c>
      <c r="H35" s="223" t="s">
        <v>838</v>
      </c>
      <c r="I35" s="261">
        <v>413854</v>
      </c>
      <c r="J35" s="215">
        <v>1000000</v>
      </c>
      <c r="K35" s="215">
        <v>18798157</v>
      </c>
      <c r="L35" s="261">
        <v>61924</v>
      </c>
      <c r="M35" s="217">
        <v>163366</v>
      </c>
    </row>
    <row r="36" spans="1:13" s="34" customFormat="1" ht="6" customHeight="1">
      <c r="A36" s="29"/>
      <c r="B36" s="257"/>
      <c r="C36" s="260"/>
      <c r="D36" s="215"/>
      <c r="E36" s="215"/>
      <c r="F36" s="215"/>
      <c r="G36" s="215"/>
      <c r="H36" s="216"/>
      <c r="I36" s="261"/>
      <c r="J36" s="215"/>
      <c r="K36" s="215"/>
      <c r="L36" s="261"/>
      <c r="M36" s="217"/>
    </row>
    <row r="37" spans="1:13" s="21" customFormat="1" ht="16.5" customHeight="1">
      <c r="A37" s="29" t="s">
        <v>562</v>
      </c>
      <c r="B37" s="255" t="s">
        <v>846</v>
      </c>
      <c r="C37" s="260">
        <f>SUM(D37:M37)</f>
        <v>48105121</v>
      </c>
      <c r="D37" s="215">
        <v>23736058</v>
      </c>
      <c r="E37" s="222" t="s">
        <v>838</v>
      </c>
      <c r="F37" s="215">
        <v>1286163</v>
      </c>
      <c r="G37" s="215">
        <v>1417343</v>
      </c>
      <c r="H37" s="223" t="s">
        <v>838</v>
      </c>
      <c r="I37" s="261">
        <v>139076</v>
      </c>
      <c r="J37" s="215">
        <v>4313547</v>
      </c>
      <c r="K37" s="215">
        <v>16932908</v>
      </c>
      <c r="L37" s="261">
        <v>101235</v>
      </c>
      <c r="M37" s="217">
        <f>24500+154291</f>
        <v>178791</v>
      </c>
    </row>
    <row r="38" spans="1:13" s="21" customFormat="1" ht="22.5" customHeight="1" thickBot="1">
      <c r="A38" s="41">
        <v>2008</v>
      </c>
      <c r="B38" s="256" t="s">
        <v>837</v>
      </c>
      <c r="C38" s="262">
        <f>SUM(D38:M38)</f>
        <v>48105121</v>
      </c>
      <c r="D38" s="218">
        <v>23736058</v>
      </c>
      <c r="E38" s="224" t="s">
        <v>838</v>
      </c>
      <c r="F38" s="218">
        <v>1286163</v>
      </c>
      <c r="G38" s="218">
        <v>1417343</v>
      </c>
      <c r="H38" s="225" t="s">
        <v>838</v>
      </c>
      <c r="I38" s="263">
        <v>139076</v>
      </c>
      <c r="J38" s="218">
        <v>4313547</v>
      </c>
      <c r="K38" s="218">
        <v>16932908</v>
      </c>
      <c r="L38" s="263">
        <v>101235</v>
      </c>
      <c r="M38" s="264">
        <v>178791</v>
      </c>
    </row>
    <row r="39" spans="1:8" s="21" customFormat="1" ht="12.75" customHeight="1">
      <c r="A39" s="258" t="s">
        <v>565</v>
      </c>
      <c r="H39" s="35" t="s">
        <v>819</v>
      </c>
    </row>
    <row r="40" ht="12.75">
      <c r="A40" s="64"/>
    </row>
  </sheetData>
  <mergeCells count="7">
    <mergeCell ref="A13:A14"/>
    <mergeCell ref="H2:M2"/>
    <mergeCell ref="A6:B6"/>
    <mergeCell ref="A3:G3"/>
    <mergeCell ref="H3:M3"/>
    <mergeCell ref="A2:G2"/>
    <mergeCell ref="A5:B5"/>
  </mergeCells>
  <printOptions/>
  <pageMargins left="1.141732283464567" right="1.141732283464567" top="1.5748031496062993" bottom="1.5748031496062993" header="0.5118110236220472" footer="0.9055118110236221"/>
  <pageSetup firstPageNumber="260"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4.xml><?xml version="1.0" encoding="utf-8"?>
<worksheet xmlns="http://schemas.openxmlformats.org/spreadsheetml/2006/main" xmlns:r="http://schemas.openxmlformats.org/officeDocument/2006/relationships">
  <sheetPr>
    <tabColor indexed="17"/>
  </sheetPr>
  <dimension ref="A1:L27"/>
  <sheetViews>
    <sheetView showGridLines="0" zoomScale="120" zoomScaleNormal="120" workbookViewId="0" topLeftCell="A1">
      <selection activeCell="A1" sqref="A1"/>
    </sheetView>
  </sheetViews>
  <sheetFormatPr defaultColWidth="9.00390625" defaultRowHeight="16.5"/>
  <cols>
    <col min="1" max="1" width="16.625" style="13" customWidth="1"/>
    <col min="2" max="3" width="10.625" style="13" customWidth="1"/>
    <col min="4" max="4" width="14.125" style="13" customWidth="1"/>
    <col min="5" max="5" width="12.625" style="13" customWidth="1"/>
    <col min="6" max="6" width="10.625" style="13" customWidth="1"/>
    <col min="7" max="7" width="13.125" style="13" customWidth="1"/>
    <col min="8" max="8" width="12.125" style="13" customWidth="1"/>
    <col min="9" max="9" width="13.125" style="13" customWidth="1"/>
    <col min="10" max="12" width="12.125" style="13" customWidth="1"/>
    <col min="13" max="16384" width="9.00390625" style="13" customWidth="1"/>
  </cols>
  <sheetData>
    <row r="1" spans="1:12" s="14" customFormat="1" ht="19.5" customHeight="1">
      <c r="A1" s="177" t="s">
        <v>615</v>
      </c>
      <c r="B1" s="26"/>
      <c r="L1" s="49" t="s">
        <v>616</v>
      </c>
    </row>
    <row r="2" spans="1:12" s="16" customFormat="1" ht="24" customHeight="1">
      <c r="A2" s="434" t="s">
        <v>692</v>
      </c>
      <c r="B2" s="433"/>
      <c r="C2" s="433"/>
      <c r="D2" s="433"/>
      <c r="E2" s="433"/>
      <c r="F2" s="433"/>
      <c r="G2" s="442" t="s">
        <v>693</v>
      </c>
      <c r="H2" s="433"/>
      <c r="I2" s="433"/>
      <c r="J2" s="433"/>
      <c r="K2" s="433"/>
      <c r="L2" s="433"/>
    </row>
    <row r="3" spans="1:12" s="367" customFormat="1" ht="18" customHeight="1">
      <c r="A3" s="438" t="s">
        <v>361</v>
      </c>
      <c r="B3" s="439"/>
      <c r="C3" s="439"/>
      <c r="D3" s="439"/>
      <c r="E3" s="439"/>
      <c r="F3" s="439"/>
      <c r="G3" s="439" t="s">
        <v>362</v>
      </c>
      <c r="H3" s="439"/>
      <c r="I3" s="439"/>
      <c r="J3" s="439"/>
      <c r="K3" s="439"/>
      <c r="L3" s="439"/>
    </row>
    <row r="4" spans="1:12" s="14" customFormat="1" ht="15" customHeight="1" thickBot="1">
      <c r="A4" s="1"/>
      <c r="B4" s="15"/>
      <c r="C4" s="15"/>
      <c r="D4" s="15"/>
      <c r="E4" s="15"/>
      <c r="F4" s="176" t="s">
        <v>802</v>
      </c>
      <c r="G4" s="15"/>
      <c r="H4" s="15"/>
      <c r="I4" s="15"/>
      <c r="J4" s="42"/>
      <c r="K4" s="42"/>
      <c r="L4" s="25" t="s">
        <v>803</v>
      </c>
    </row>
    <row r="5" spans="1:12" s="14" customFormat="1" ht="34.5" customHeight="1">
      <c r="A5" s="193" t="s">
        <v>592</v>
      </c>
      <c r="B5" s="266" t="s">
        <v>593</v>
      </c>
      <c r="C5" s="267" t="s">
        <v>594</v>
      </c>
      <c r="D5" s="248" t="s">
        <v>595</v>
      </c>
      <c r="E5" s="248" t="s">
        <v>596</v>
      </c>
      <c r="F5" s="267" t="s">
        <v>597</v>
      </c>
      <c r="G5" s="247" t="s">
        <v>598</v>
      </c>
      <c r="H5" s="267" t="s">
        <v>599</v>
      </c>
      <c r="I5" s="248" t="s">
        <v>600</v>
      </c>
      <c r="J5" s="248" t="s">
        <v>601</v>
      </c>
      <c r="K5" s="248" t="s">
        <v>602</v>
      </c>
      <c r="L5" s="268" t="s">
        <v>603</v>
      </c>
    </row>
    <row r="6" spans="1:12" s="36" customFormat="1" ht="45.75" customHeight="1" thickBot="1">
      <c r="A6" s="46" t="s">
        <v>824</v>
      </c>
      <c r="B6" s="38" t="s">
        <v>794</v>
      </c>
      <c r="C6" s="39" t="s">
        <v>805</v>
      </c>
      <c r="D6" s="39" t="s">
        <v>691</v>
      </c>
      <c r="E6" s="39" t="s">
        <v>806</v>
      </c>
      <c r="F6" s="39" t="s">
        <v>798</v>
      </c>
      <c r="G6" s="12" t="s">
        <v>807</v>
      </c>
      <c r="H6" s="39" t="s">
        <v>808</v>
      </c>
      <c r="I6" s="39" t="s">
        <v>809</v>
      </c>
      <c r="J6" s="39" t="s">
        <v>810</v>
      </c>
      <c r="K6" s="39" t="s">
        <v>811</v>
      </c>
      <c r="L6" s="40" t="s">
        <v>812</v>
      </c>
    </row>
    <row r="7" spans="1:12" s="5" customFormat="1" ht="37.5" customHeight="1">
      <c r="A7" s="37" t="s">
        <v>604</v>
      </c>
      <c r="B7" s="2">
        <f>SUM(C7:L7)</f>
        <v>28243311</v>
      </c>
      <c r="C7" s="3">
        <v>15507784</v>
      </c>
      <c r="D7" s="240" t="s">
        <v>822</v>
      </c>
      <c r="E7" s="3">
        <v>959416</v>
      </c>
      <c r="F7" s="3">
        <v>906975</v>
      </c>
      <c r="G7" s="242" t="s">
        <v>822</v>
      </c>
      <c r="H7" s="50">
        <v>1609724</v>
      </c>
      <c r="I7" s="240" t="s">
        <v>822</v>
      </c>
      <c r="J7" s="3">
        <v>8992651</v>
      </c>
      <c r="K7" s="50">
        <v>2912</v>
      </c>
      <c r="L7" s="4">
        <v>263849</v>
      </c>
    </row>
    <row r="8" spans="1:12" s="14" customFormat="1" ht="9" customHeight="1">
      <c r="A8" s="43"/>
      <c r="B8" s="2"/>
      <c r="C8" s="3"/>
      <c r="D8" s="3"/>
      <c r="E8" s="3"/>
      <c r="F8" s="3"/>
      <c r="G8" s="9"/>
      <c r="H8" s="3"/>
      <c r="I8" s="3"/>
      <c r="J8" s="3"/>
      <c r="K8" s="3"/>
      <c r="L8" s="4"/>
    </row>
    <row r="9" spans="1:12" s="5" customFormat="1" ht="37.5" customHeight="1">
      <c r="A9" s="37" t="s">
        <v>605</v>
      </c>
      <c r="B9" s="2">
        <f>SUM(C9:L9)</f>
        <v>29631783</v>
      </c>
      <c r="C9" s="3">
        <v>16661328</v>
      </c>
      <c r="D9" s="240" t="s">
        <v>606</v>
      </c>
      <c r="E9" s="3">
        <v>1052551</v>
      </c>
      <c r="F9" s="3">
        <v>963023</v>
      </c>
      <c r="G9" s="242" t="s">
        <v>606</v>
      </c>
      <c r="H9" s="3">
        <v>1585242</v>
      </c>
      <c r="I9" s="240" t="s">
        <v>606</v>
      </c>
      <c r="J9" s="3">
        <v>8856864</v>
      </c>
      <c r="K9" s="3">
        <v>310282</v>
      </c>
      <c r="L9" s="265">
        <v>202493</v>
      </c>
    </row>
    <row r="10" spans="1:12" s="14" customFormat="1" ht="9" customHeight="1">
      <c r="A10" s="43"/>
      <c r="B10" s="2"/>
      <c r="C10" s="3"/>
      <c r="D10" s="3"/>
      <c r="E10" s="3"/>
      <c r="F10" s="3"/>
      <c r="G10" s="9"/>
      <c r="H10" s="3"/>
      <c r="I10" s="3"/>
      <c r="J10" s="3"/>
      <c r="K10" s="3"/>
      <c r="L10" s="4"/>
    </row>
    <row r="11" spans="1:12" s="5" customFormat="1" ht="37.5" customHeight="1">
      <c r="A11" s="37" t="s">
        <v>607</v>
      </c>
      <c r="B11" s="2">
        <f>SUM(C11:L11)</f>
        <v>38471513</v>
      </c>
      <c r="C11" s="3">
        <v>26103910</v>
      </c>
      <c r="D11" s="240" t="s">
        <v>606</v>
      </c>
      <c r="E11" s="3">
        <v>1791661</v>
      </c>
      <c r="F11" s="3">
        <v>1471069</v>
      </c>
      <c r="G11" s="242" t="s">
        <v>606</v>
      </c>
      <c r="H11" s="50">
        <v>1890884</v>
      </c>
      <c r="I11" s="240" t="s">
        <v>606</v>
      </c>
      <c r="J11" s="3">
        <v>6294174</v>
      </c>
      <c r="K11" s="50">
        <v>201293</v>
      </c>
      <c r="L11" s="4">
        <v>718522</v>
      </c>
    </row>
    <row r="12" spans="1:12" s="14" customFormat="1" ht="9" customHeight="1">
      <c r="A12" s="43"/>
      <c r="B12" s="2"/>
      <c r="C12" s="3"/>
      <c r="D12" s="3"/>
      <c r="E12" s="3"/>
      <c r="F12" s="3"/>
      <c r="G12" s="9"/>
      <c r="H12" s="3"/>
      <c r="I12" s="3"/>
      <c r="J12" s="3"/>
      <c r="K12" s="3"/>
      <c r="L12" s="4"/>
    </row>
    <row r="13" spans="1:12" s="5" customFormat="1" ht="37.5" customHeight="1">
      <c r="A13" s="37" t="s">
        <v>608</v>
      </c>
      <c r="B13" s="2">
        <f>SUM(C13:L13)</f>
        <v>21720788</v>
      </c>
      <c r="C13" s="3">
        <v>13455987</v>
      </c>
      <c r="D13" s="240" t="s">
        <v>606</v>
      </c>
      <c r="E13" s="3">
        <v>1472139</v>
      </c>
      <c r="F13" s="3">
        <v>817663</v>
      </c>
      <c r="G13" s="242" t="s">
        <v>606</v>
      </c>
      <c r="H13" s="50">
        <v>179846</v>
      </c>
      <c r="I13" s="240" t="s">
        <v>606</v>
      </c>
      <c r="J13" s="3">
        <v>5358065</v>
      </c>
      <c r="K13" s="50">
        <v>62767</v>
      </c>
      <c r="L13" s="4">
        <v>374321</v>
      </c>
    </row>
    <row r="14" spans="1:12" s="14" customFormat="1" ht="9" customHeight="1">
      <c r="A14" s="43"/>
      <c r="B14" s="2"/>
      <c r="C14" s="3"/>
      <c r="D14" s="3"/>
      <c r="E14" s="3"/>
      <c r="F14" s="3"/>
      <c r="G14" s="9"/>
      <c r="H14" s="3"/>
      <c r="I14" s="3"/>
      <c r="J14" s="3"/>
      <c r="K14" s="3"/>
      <c r="L14" s="4"/>
    </row>
    <row r="15" spans="1:12" s="5" customFormat="1" ht="37.5" customHeight="1">
      <c r="A15" s="37" t="s">
        <v>609</v>
      </c>
      <c r="B15" s="2">
        <f>SUM(C15:L15)</f>
        <v>32289367.648689996</v>
      </c>
      <c r="C15" s="3">
        <f>16426390430/1000</f>
        <v>16426390.43</v>
      </c>
      <c r="D15" s="240" t="s">
        <v>606</v>
      </c>
      <c r="E15" s="3">
        <f>1522783880/1000</f>
        <v>1522783.88</v>
      </c>
      <c r="F15" s="3">
        <f>(1027249206-167340000)/1000</f>
        <v>859909.206</v>
      </c>
      <c r="G15" s="9">
        <f>167340000/1000</f>
        <v>167340</v>
      </c>
      <c r="H15" s="50">
        <f>465893895/1000</f>
        <v>465893.895</v>
      </c>
      <c r="I15" s="240" t="s">
        <v>606</v>
      </c>
      <c r="J15" s="3">
        <f>10993714399/1000</f>
        <v>10993714.399</v>
      </c>
      <c r="K15" s="50">
        <f>151711887/1000</f>
        <v>151711.887</v>
      </c>
      <c r="L15" s="4">
        <f>1701623951.69/1000</f>
        <v>1701623.95169</v>
      </c>
    </row>
    <row r="16" spans="1:12" s="14" customFormat="1" ht="9" customHeight="1">
      <c r="A16" s="43"/>
      <c r="B16" s="2"/>
      <c r="C16" s="3"/>
      <c r="D16" s="3"/>
      <c r="E16" s="3"/>
      <c r="F16" s="3"/>
      <c r="G16" s="9"/>
      <c r="H16" s="3"/>
      <c r="I16" s="3"/>
      <c r="J16" s="3"/>
      <c r="K16" s="3"/>
      <c r="L16" s="4"/>
    </row>
    <row r="17" spans="1:12" s="5" customFormat="1" ht="37.5" customHeight="1">
      <c r="A17" s="37" t="s">
        <v>610</v>
      </c>
      <c r="B17" s="2">
        <f>SUM(C17:L17)</f>
        <v>34213299.8209</v>
      </c>
      <c r="C17" s="3">
        <v>18378670.628</v>
      </c>
      <c r="D17" s="240" t="s">
        <v>606</v>
      </c>
      <c r="E17" s="3">
        <v>1593399.3089</v>
      </c>
      <c r="F17" s="3">
        <f>792855.124+53914.858</f>
        <v>846769.982</v>
      </c>
      <c r="G17" s="9">
        <v>238227</v>
      </c>
      <c r="H17" s="50">
        <v>314113.09</v>
      </c>
      <c r="I17" s="240" t="s">
        <v>851</v>
      </c>
      <c r="J17" s="3">
        <v>11456557.135</v>
      </c>
      <c r="K17" s="50">
        <v>144422</v>
      </c>
      <c r="L17" s="4">
        <v>1241140.677</v>
      </c>
    </row>
    <row r="18" spans="1:12" s="5" customFormat="1" ht="9" customHeight="1">
      <c r="A18" s="37"/>
      <c r="B18" s="2"/>
      <c r="C18" s="3"/>
      <c r="D18" s="3"/>
      <c r="E18" s="3"/>
      <c r="F18" s="3"/>
      <c r="G18" s="9"/>
      <c r="H18" s="50"/>
      <c r="I18" s="3"/>
      <c r="J18" s="3"/>
      <c r="K18" s="50"/>
      <c r="L18" s="4"/>
    </row>
    <row r="19" spans="1:12" s="5" customFormat="1" ht="37.5" customHeight="1">
      <c r="A19" s="37" t="s">
        <v>611</v>
      </c>
      <c r="B19" s="2">
        <f>SUM(C19:L19)</f>
        <v>41361210.11795999</v>
      </c>
      <c r="C19" s="3">
        <v>22565607.081</v>
      </c>
      <c r="D19" s="240" t="s">
        <v>606</v>
      </c>
      <c r="E19" s="3">
        <v>1779176.93</v>
      </c>
      <c r="F19" s="3">
        <v>1284531.937</v>
      </c>
      <c r="G19" s="242" t="s">
        <v>606</v>
      </c>
      <c r="H19" s="50">
        <v>891731.091</v>
      </c>
      <c r="I19" s="240" t="s">
        <v>606</v>
      </c>
      <c r="J19" s="3">
        <v>13601251.87</v>
      </c>
      <c r="K19" s="50">
        <v>69530.577</v>
      </c>
      <c r="L19" s="4">
        <v>1169380.63196</v>
      </c>
    </row>
    <row r="20" spans="1:12" s="14" customFormat="1" ht="9" customHeight="1">
      <c r="A20" s="43"/>
      <c r="B20" s="2"/>
      <c r="C20" s="3"/>
      <c r="D20" s="3"/>
      <c r="E20" s="3"/>
      <c r="F20" s="3"/>
      <c r="G20" s="9"/>
      <c r="H20" s="3"/>
      <c r="I20" s="3"/>
      <c r="J20" s="3"/>
      <c r="K20" s="3"/>
      <c r="L20" s="4"/>
    </row>
    <row r="21" spans="1:12" s="5" customFormat="1" ht="37.5" customHeight="1">
      <c r="A21" s="37" t="s">
        <v>612</v>
      </c>
      <c r="B21" s="2">
        <f>SUM(C21:L21)</f>
        <v>37658594.267</v>
      </c>
      <c r="C21" s="3">
        <v>22912041.222</v>
      </c>
      <c r="D21" s="240" t="s">
        <v>606</v>
      </c>
      <c r="E21" s="3">
        <f>1662781.52</f>
        <v>1662781.52</v>
      </c>
      <c r="F21" s="3">
        <v>1348215.14</v>
      </c>
      <c r="G21" s="242" t="s">
        <v>606</v>
      </c>
      <c r="H21" s="3">
        <v>746353.806</v>
      </c>
      <c r="I21" s="240" t="s">
        <v>606</v>
      </c>
      <c r="J21" s="3">
        <f>10649740.517</f>
        <v>10649740.517</v>
      </c>
      <c r="K21" s="3">
        <f>91171</f>
        <v>91171</v>
      </c>
      <c r="L21" s="4">
        <f>16000+232291.062</f>
        <v>248291.062</v>
      </c>
    </row>
    <row r="22" spans="1:12" s="1" customFormat="1" ht="9" customHeight="1">
      <c r="A22" s="43"/>
      <c r="B22" s="2"/>
      <c r="C22" s="3"/>
      <c r="D22" s="3"/>
      <c r="E22" s="3"/>
      <c r="F22" s="3"/>
      <c r="G22" s="9"/>
      <c r="H22" s="3"/>
      <c r="I22" s="3"/>
      <c r="J22" s="3"/>
      <c r="K22" s="3"/>
      <c r="L22" s="4"/>
    </row>
    <row r="23" spans="1:12" s="5" customFormat="1" ht="37.5" customHeight="1">
      <c r="A23" s="37" t="s">
        <v>613</v>
      </c>
      <c r="B23" s="2">
        <f>SUM(C23:L23)</f>
        <v>36143156.280999996</v>
      </c>
      <c r="C23" s="3">
        <v>22896567.981</v>
      </c>
      <c r="D23" s="240" t="s">
        <v>606</v>
      </c>
      <c r="E23" s="3">
        <v>1572504.83</v>
      </c>
      <c r="F23" s="3">
        <v>1478549.333</v>
      </c>
      <c r="G23" s="242" t="s">
        <v>606</v>
      </c>
      <c r="H23" s="3">
        <v>147215.457</v>
      </c>
      <c r="I23" s="240" t="s">
        <v>606</v>
      </c>
      <c r="J23" s="3">
        <v>9644577.793</v>
      </c>
      <c r="K23" s="3">
        <v>31748</v>
      </c>
      <c r="L23" s="4">
        <f>(80063167+291929720)/1000</f>
        <v>371992.887</v>
      </c>
    </row>
    <row r="24" spans="1:12" s="1" customFormat="1" ht="9" customHeight="1">
      <c r="A24" s="43"/>
      <c r="B24" s="2"/>
      <c r="C24" s="3"/>
      <c r="D24" s="3"/>
      <c r="E24" s="3"/>
      <c r="F24" s="3"/>
      <c r="G24" s="9"/>
      <c r="H24" s="3"/>
      <c r="I24" s="3"/>
      <c r="J24" s="3"/>
      <c r="K24" s="3"/>
      <c r="L24" s="4"/>
    </row>
    <row r="25" spans="1:12" s="5" customFormat="1" ht="37.5" customHeight="1" thickBot="1">
      <c r="A25" s="46" t="s">
        <v>614</v>
      </c>
      <c r="B25" s="7">
        <f>SUM(C25:L25)</f>
        <v>36910089.05</v>
      </c>
      <c r="C25" s="8">
        <v>22022007.152</v>
      </c>
      <c r="D25" s="243" t="s">
        <v>606</v>
      </c>
      <c r="E25" s="8">
        <v>1655307</v>
      </c>
      <c r="F25" s="8">
        <v>1325288.706</v>
      </c>
      <c r="G25" s="244" t="s">
        <v>606</v>
      </c>
      <c r="H25" s="8">
        <v>74693</v>
      </c>
      <c r="I25" s="8">
        <v>1077725</v>
      </c>
      <c r="J25" s="8">
        <v>10413972.192</v>
      </c>
      <c r="K25" s="8">
        <v>55434</v>
      </c>
      <c r="L25" s="28">
        <v>285662</v>
      </c>
    </row>
    <row r="26" spans="1:7" s="24" customFormat="1" ht="15" customHeight="1">
      <c r="A26" s="269" t="s">
        <v>617</v>
      </c>
      <c r="B26" s="75"/>
      <c r="G26" s="5" t="s">
        <v>618</v>
      </c>
    </row>
    <row r="27" spans="1:7" s="14" customFormat="1" ht="15" customHeight="1">
      <c r="A27" s="269" t="s">
        <v>619</v>
      </c>
      <c r="G27" s="26" t="s">
        <v>620</v>
      </c>
    </row>
  </sheetData>
  <mergeCells count="4">
    <mergeCell ref="G3:L3"/>
    <mergeCell ref="A2:F2"/>
    <mergeCell ref="G2:L2"/>
    <mergeCell ref="A3:F3"/>
  </mergeCells>
  <printOptions/>
  <pageMargins left="1.1811023622047245" right="1.1811023622047245" top="1.5748031496062993" bottom="1.5748031496062993" header="0.5118110236220472" footer="0.9055118110236221"/>
  <pageSetup firstPageNumber="262"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5.xml><?xml version="1.0" encoding="utf-8"?>
<worksheet xmlns="http://schemas.openxmlformats.org/spreadsheetml/2006/main" xmlns:r="http://schemas.openxmlformats.org/officeDocument/2006/relationships">
  <sheetPr>
    <tabColor indexed="17"/>
  </sheetPr>
  <dimension ref="A1:P39"/>
  <sheetViews>
    <sheetView showGridLines="0" zoomScale="120" zoomScaleNormal="120" workbookViewId="0" topLeftCell="A1">
      <selection activeCell="A1" sqref="A1"/>
    </sheetView>
  </sheetViews>
  <sheetFormatPr defaultColWidth="9.00390625" defaultRowHeight="16.5"/>
  <cols>
    <col min="1" max="1" width="11.125" style="13" customWidth="1"/>
    <col min="2" max="2" width="13.625" style="13" customWidth="1"/>
    <col min="3" max="3" width="8.125" style="13" customWidth="1"/>
    <col min="4" max="4" width="9.125" style="13" customWidth="1"/>
    <col min="5" max="5" width="8.625" style="13" customWidth="1"/>
    <col min="6" max="6" width="8.125" style="13" customWidth="1"/>
    <col min="7" max="7" width="7.625" style="13" customWidth="1"/>
    <col min="8" max="9" width="8.625" style="13" customWidth="1"/>
    <col min="10" max="12" width="9.375" style="13" customWidth="1"/>
    <col min="13" max="13" width="10.125" style="13" customWidth="1"/>
    <col min="14" max="16" width="9.375" style="13" customWidth="1"/>
    <col min="17" max="16384" width="9.00390625" style="13" customWidth="1"/>
  </cols>
  <sheetData>
    <row r="1" spans="1:16" s="14" customFormat="1" ht="19.5" customHeight="1">
      <c r="A1" s="177" t="s">
        <v>514</v>
      </c>
      <c r="B1" s="26"/>
      <c r="C1" s="26"/>
      <c r="P1" s="49" t="s">
        <v>868</v>
      </c>
    </row>
    <row r="2" spans="1:16" s="16" customFormat="1" ht="24" customHeight="1">
      <c r="A2" s="434" t="s">
        <v>718</v>
      </c>
      <c r="B2" s="433"/>
      <c r="C2" s="433"/>
      <c r="D2" s="433"/>
      <c r="E2" s="433"/>
      <c r="F2" s="433"/>
      <c r="G2" s="433"/>
      <c r="H2" s="433"/>
      <c r="I2" s="433" t="s">
        <v>661</v>
      </c>
      <c r="J2" s="433"/>
      <c r="K2" s="433"/>
      <c r="L2" s="433"/>
      <c r="M2" s="433"/>
      <c r="N2" s="433"/>
      <c r="O2" s="433"/>
      <c r="P2" s="433"/>
    </row>
    <row r="3" spans="1:16" s="367" customFormat="1" ht="18" customHeight="1">
      <c r="A3" s="438" t="s">
        <v>363</v>
      </c>
      <c r="B3" s="439"/>
      <c r="C3" s="439"/>
      <c r="D3" s="439"/>
      <c r="E3" s="439"/>
      <c r="F3" s="439"/>
      <c r="G3" s="439"/>
      <c r="H3" s="439"/>
      <c r="I3" s="439" t="s">
        <v>364</v>
      </c>
      <c r="J3" s="439"/>
      <c r="K3" s="439"/>
      <c r="L3" s="439"/>
      <c r="M3" s="439"/>
      <c r="N3" s="439"/>
      <c r="O3" s="439"/>
      <c r="P3" s="439"/>
    </row>
    <row r="4" spans="1:16" s="52" customFormat="1" ht="15" customHeight="1" thickBot="1">
      <c r="A4" s="149"/>
      <c r="B4" s="149"/>
      <c r="C4" s="55"/>
      <c r="D4" s="55"/>
      <c r="E4" s="55"/>
      <c r="F4" s="55"/>
      <c r="G4" s="55"/>
      <c r="H4" s="214" t="s">
        <v>681</v>
      </c>
      <c r="I4" s="55"/>
      <c r="J4" s="55"/>
      <c r="K4" s="55"/>
      <c r="M4" s="150"/>
      <c r="N4" s="150"/>
      <c r="O4" s="150"/>
      <c r="P4" s="63" t="s">
        <v>682</v>
      </c>
    </row>
    <row r="5" spans="1:16" s="14" customFormat="1" ht="27.75" customHeight="1">
      <c r="A5" s="445" t="s">
        <v>804</v>
      </c>
      <c r="B5" s="446"/>
      <c r="C5" s="270" t="s">
        <v>593</v>
      </c>
      <c r="D5" s="219" t="s">
        <v>634</v>
      </c>
      <c r="E5" s="220" t="s">
        <v>635</v>
      </c>
      <c r="F5" s="220" t="s">
        <v>636</v>
      </c>
      <c r="G5" s="220" t="s">
        <v>637</v>
      </c>
      <c r="H5" s="271" t="s">
        <v>638</v>
      </c>
      <c r="I5" s="219" t="s">
        <v>639</v>
      </c>
      <c r="J5" s="271" t="s">
        <v>640</v>
      </c>
      <c r="K5" s="220" t="s">
        <v>641</v>
      </c>
      <c r="L5" s="220" t="s">
        <v>642</v>
      </c>
      <c r="M5" s="220" t="s">
        <v>643</v>
      </c>
      <c r="N5" s="220" t="s">
        <v>644</v>
      </c>
      <c r="O5" s="220" t="s">
        <v>645</v>
      </c>
      <c r="P5" s="221" t="s">
        <v>646</v>
      </c>
    </row>
    <row r="6" spans="1:16" s="36" customFormat="1" ht="39.75" customHeight="1" thickBot="1">
      <c r="A6" s="444" t="s">
        <v>736</v>
      </c>
      <c r="B6" s="431"/>
      <c r="C6" s="57" t="s">
        <v>566</v>
      </c>
      <c r="D6" s="57" t="s">
        <v>647</v>
      </c>
      <c r="E6" s="58" t="s">
        <v>648</v>
      </c>
      <c r="F6" s="58" t="s">
        <v>649</v>
      </c>
      <c r="G6" s="58" t="s">
        <v>650</v>
      </c>
      <c r="H6" s="58" t="s">
        <v>651</v>
      </c>
      <c r="I6" s="57" t="s">
        <v>652</v>
      </c>
      <c r="J6" s="58" t="s">
        <v>653</v>
      </c>
      <c r="K6" s="58" t="s">
        <v>654</v>
      </c>
      <c r="L6" s="58" t="s">
        <v>655</v>
      </c>
      <c r="M6" s="58" t="s">
        <v>656</v>
      </c>
      <c r="N6" s="58" t="s">
        <v>657</v>
      </c>
      <c r="O6" s="58" t="s">
        <v>658</v>
      </c>
      <c r="P6" s="59" t="s">
        <v>659</v>
      </c>
    </row>
    <row r="7" spans="1:16" s="24" customFormat="1" ht="16.5" customHeight="1">
      <c r="A7" s="142" t="s">
        <v>660</v>
      </c>
      <c r="B7" s="255" t="s">
        <v>578</v>
      </c>
      <c r="C7" s="143">
        <v>34292432</v>
      </c>
      <c r="D7" s="60">
        <v>292935</v>
      </c>
      <c r="E7" s="60">
        <v>382799</v>
      </c>
      <c r="F7" s="60">
        <v>2247845</v>
      </c>
      <c r="G7" s="60">
        <v>741398</v>
      </c>
      <c r="H7" s="61">
        <v>13415469</v>
      </c>
      <c r="I7" s="227" t="s">
        <v>579</v>
      </c>
      <c r="J7" s="61">
        <v>618788</v>
      </c>
      <c r="K7" s="61">
        <v>785104</v>
      </c>
      <c r="L7" s="61">
        <v>224445</v>
      </c>
      <c r="M7" s="61">
        <v>2341770</v>
      </c>
      <c r="N7" s="61">
        <v>785795</v>
      </c>
      <c r="O7" s="61">
        <v>2773119</v>
      </c>
      <c r="P7" s="141">
        <v>1099175</v>
      </c>
    </row>
    <row r="8" spans="1:16" s="24" customFormat="1" ht="21.75" customHeight="1">
      <c r="A8" s="142">
        <v>1998</v>
      </c>
      <c r="B8" s="255" t="s">
        <v>837</v>
      </c>
      <c r="C8" s="143">
        <v>34292432</v>
      </c>
      <c r="D8" s="60">
        <v>292935</v>
      </c>
      <c r="E8" s="60">
        <v>382799</v>
      </c>
      <c r="F8" s="60">
        <v>2247845</v>
      </c>
      <c r="G8" s="60">
        <v>741398</v>
      </c>
      <c r="H8" s="61">
        <v>13415469</v>
      </c>
      <c r="I8" s="227" t="s">
        <v>838</v>
      </c>
      <c r="J8" s="61">
        <v>618788</v>
      </c>
      <c r="K8" s="61">
        <v>785104</v>
      </c>
      <c r="L8" s="61">
        <v>224445</v>
      </c>
      <c r="M8" s="61">
        <v>2341770</v>
      </c>
      <c r="N8" s="61">
        <v>785795</v>
      </c>
      <c r="O8" s="61">
        <v>2773119</v>
      </c>
      <c r="P8" s="141">
        <v>1099175</v>
      </c>
    </row>
    <row r="9" spans="1:16" s="14" customFormat="1" ht="5.25" customHeight="1">
      <c r="A9" s="142"/>
      <c r="B9" s="48"/>
      <c r="C9" s="143"/>
      <c r="D9" s="61"/>
      <c r="E9" s="61"/>
      <c r="F9" s="61"/>
      <c r="G9" s="61"/>
      <c r="H9" s="61"/>
      <c r="I9" s="62"/>
      <c r="J9" s="61"/>
      <c r="K9" s="61"/>
      <c r="L9" s="61"/>
      <c r="M9" s="61"/>
      <c r="N9" s="61"/>
      <c r="O9" s="61"/>
      <c r="P9" s="141"/>
    </row>
    <row r="10" spans="1:16" s="24" customFormat="1" ht="16.5" customHeight="1">
      <c r="A10" s="142" t="s">
        <v>621</v>
      </c>
      <c r="B10" s="255" t="s">
        <v>846</v>
      </c>
      <c r="C10" s="143">
        <v>35871431</v>
      </c>
      <c r="D10" s="60">
        <v>272695</v>
      </c>
      <c r="E10" s="60">
        <v>466335</v>
      </c>
      <c r="F10" s="60">
        <v>1942775</v>
      </c>
      <c r="G10" s="60">
        <v>801956</v>
      </c>
      <c r="H10" s="61">
        <v>14729360</v>
      </c>
      <c r="I10" s="227" t="s">
        <v>838</v>
      </c>
      <c r="J10" s="61">
        <v>694979</v>
      </c>
      <c r="K10" s="61">
        <v>989828</v>
      </c>
      <c r="L10" s="61">
        <v>242274</v>
      </c>
      <c r="M10" s="61">
        <v>1748260</v>
      </c>
      <c r="N10" s="61">
        <v>1150738</v>
      </c>
      <c r="O10" s="61">
        <v>2903532</v>
      </c>
      <c r="P10" s="141">
        <v>1128632</v>
      </c>
    </row>
    <row r="11" spans="1:16" s="24" customFormat="1" ht="21.75" customHeight="1">
      <c r="A11" s="142">
        <v>1999</v>
      </c>
      <c r="B11" s="255" t="s">
        <v>837</v>
      </c>
      <c r="C11" s="143">
        <v>36855082</v>
      </c>
      <c r="D11" s="60">
        <v>286829</v>
      </c>
      <c r="E11" s="60">
        <v>506026</v>
      </c>
      <c r="F11" s="60">
        <v>1983646</v>
      </c>
      <c r="G11" s="60">
        <v>768068</v>
      </c>
      <c r="H11" s="61">
        <v>14937590</v>
      </c>
      <c r="I11" s="227" t="s">
        <v>838</v>
      </c>
      <c r="J11" s="61">
        <v>811940</v>
      </c>
      <c r="K11" s="61">
        <v>1035921</v>
      </c>
      <c r="L11" s="61">
        <v>226274</v>
      </c>
      <c r="M11" s="61">
        <v>2173759</v>
      </c>
      <c r="N11" s="61">
        <v>1169666</v>
      </c>
      <c r="O11" s="61">
        <v>2903532</v>
      </c>
      <c r="P11" s="141">
        <v>1098174</v>
      </c>
    </row>
    <row r="12" spans="1:16" s="14" customFormat="1" ht="5.25" customHeight="1">
      <c r="A12" s="142"/>
      <c r="B12" s="48"/>
      <c r="C12" s="143"/>
      <c r="D12" s="61"/>
      <c r="E12" s="61"/>
      <c r="F12" s="61"/>
      <c r="G12" s="61"/>
      <c r="H12" s="61"/>
      <c r="I12" s="62"/>
      <c r="J12" s="61"/>
      <c r="K12" s="61"/>
      <c r="L12" s="61"/>
      <c r="M12" s="61"/>
      <c r="N12" s="61"/>
      <c r="O12" s="61"/>
      <c r="P12" s="141"/>
    </row>
    <row r="13" spans="1:16" s="24" customFormat="1" ht="16.5" customHeight="1">
      <c r="A13" s="443" t="s">
        <v>622</v>
      </c>
      <c r="B13" s="255" t="s">
        <v>846</v>
      </c>
      <c r="C13" s="143">
        <v>54721535</v>
      </c>
      <c r="D13" s="61">
        <v>610260</v>
      </c>
      <c r="E13" s="61">
        <v>1045201</v>
      </c>
      <c r="F13" s="61">
        <v>3932488</v>
      </c>
      <c r="G13" s="61">
        <v>1131310</v>
      </c>
      <c r="H13" s="61">
        <v>22981819</v>
      </c>
      <c r="I13" s="227" t="s">
        <v>838</v>
      </c>
      <c r="J13" s="61">
        <v>1065017</v>
      </c>
      <c r="K13" s="61">
        <v>1825699</v>
      </c>
      <c r="L13" s="61">
        <v>342385</v>
      </c>
      <c r="M13" s="61">
        <v>2067169</v>
      </c>
      <c r="N13" s="61">
        <v>1492275</v>
      </c>
      <c r="O13" s="61">
        <v>287890</v>
      </c>
      <c r="P13" s="141">
        <v>1041934</v>
      </c>
    </row>
    <row r="14" spans="1:16" s="24" customFormat="1" ht="21.75" customHeight="1">
      <c r="A14" s="443"/>
      <c r="B14" s="255" t="s">
        <v>837</v>
      </c>
      <c r="C14" s="143">
        <v>54721535</v>
      </c>
      <c r="D14" s="61">
        <v>610260</v>
      </c>
      <c r="E14" s="61">
        <v>1045201</v>
      </c>
      <c r="F14" s="61">
        <v>3932488</v>
      </c>
      <c r="G14" s="61">
        <v>1131310</v>
      </c>
      <c r="H14" s="61">
        <v>22981819</v>
      </c>
      <c r="I14" s="227" t="s">
        <v>838</v>
      </c>
      <c r="J14" s="61">
        <v>1065017</v>
      </c>
      <c r="K14" s="61">
        <v>1825699</v>
      </c>
      <c r="L14" s="61">
        <v>342385</v>
      </c>
      <c r="M14" s="61">
        <v>2067169</v>
      </c>
      <c r="N14" s="61">
        <v>1492275</v>
      </c>
      <c r="O14" s="61">
        <v>287890</v>
      </c>
      <c r="P14" s="141">
        <v>1041934</v>
      </c>
    </row>
    <row r="15" spans="1:16" s="14" customFormat="1" ht="5.25" customHeight="1">
      <c r="A15" s="142"/>
      <c r="B15" s="48"/>
      <c r="C15" s="143"/>
      <c r="D15" s="61"/>
      <c r="E15" s="61"/>
      <c r="F15" s="61"/>
      <c r="G15" s="61"/>
      <c r="H15" s="61"/>
      <c r="I15" s="62"/>
      <c r="J15" s="61"/>
      <c r="K15" s="61"/>
      <c r="L15" s="61"/>
      <c r="M15" s="61"/>
      <c r="N15" s="61"/>
      <c r="O15" s="61"/>
      <c r="P15" s="141"/>
    </row>
    <row r="16" spans="1:16" s="24" customFormat="1" ht="16.5" customHeight="1">
      <c r="A16" s="142" t="s">
        <v>623</v>
      </c>
      <c r="B16" s="255" t="s">
        <v>846</v>
      </c>
      <c r="C16" s="143">
        <v>36744768</v>
      </c>
      <c r="D16" s="61">
        <v>510127</v>
      </c>
      <c r="E16" s="61">
        <v>696230</v>
      </c>
      <c r="F16" s="61">
        <v>2434551</v>
      </c>
      <c r="G16" s="61">
        <v>772731</v>
      </c>
      <c r="H16" s="61">
        <v>14937556</v>
      </c>
      <c r="I16" s="227" t="s">
        <v>838</v>
      </c>
      <c r="J16" s="61">
        <v>490418</v>
      </c>
      <c r="K16" s="61">
        <v>821689</v>
      </c>
      <c r="L16" s="61">
        <v>341835</v>
      </c>
      <c r="M16" s="61">
        <v>1431311</v>
      </c>
      <c r="N16" s="61">
        <v>896772</v>
      </c>
      <c r="O16" s="61">
        <v>167941</v>
      </c>
      <c r="P16" s="141">
        <v>865250</v>
      </c>
    </row>
    <row r="17" spans="1:16" s="24" customFormat="1" ht="21.75" customHeight="1">
      <c r="A17" s="142">
        <v>2001</v>
      </c>
      <c r="B17" s="255" t="s">
        <v>837</v>
      </c>
      <c r="C17" s="143">
        <v>36744768</v>
      </c>
      <c r="D17" s="61">
        <v>510127</v>
      </c>
      <c r="E17" s="61">
        <v>696230</v>
      </c>
      <c r="F17" s="61">
        <v>2434551</v>
      </c>
      <c r="G17" s="61">
        <v>772731</v>
      </c>
      <c r="H17" s="61">
        <v>14937556</v>
      </c>
      <c r="I17" s="227" t="s">
        <v>838</v>
      </c>
      <c r="J17" s="61">
        <v>490418</v>
      </c>
      <c r="K17" s="61">
        <v>821689</v>
      </c>
      <c r="L17" s="61">
        <v>341835</v>
      </c>
      <c r="M17" s="61">
        <v>1431311</v>
      </c>
      <c r="N17" s="61">
        <v>896772</v>
      </c>
      <c r="O17" s="61">
        <v>167941</v>
      </c>
      <c r="P17" s="141">
        <v>865250</v>
      </c>
    </row>
    <row r="18" spans="1:16" s="14" customFormat="1" ht="5.25" customHeight="1">
      <c r="A18" s="142"/>
      <c r="B18" s="48"/>
      <c r="C18" s="143"/>
      <c r="D18" s="61"/>
      <c r="E18" s="61"/>
      <c r="F18" s="61"/>
      <c r="G18" s="61"/>
      <c r="H18" s="61"/>
      <c r="I18" s="62"/>
      <c r="J18" s="61"/>
      <c r="K18" s="61"/>
      <c r="L18" s="61"/>
      <c r="M18" s="61"/>
      <c r="N18" s="61"/>
      <c r="O18" s="61"/>
      <c r="P18" s="141"/>
    </row>
    <row r="19" spans="1:16" s="24" customFormat="1" ht="16.5" customHeight="1">
      <c r="A19" s="142" t="s">
        <v>624</v>
      </c>
      <c r="B19" s="255" t="s">
        <v>846</v>
      </c>
      <c r="C19" s="143">
        <v>31679746</v>
      </c>
      <c r="D19" s="61">
        <v>468528</v>
      </c>
      <c r="E19" s="61">
        <v>683341</v>
      </c>
      <c r="F19" s="61">
        <v>2157134</v>
      </c>
      <c r="G19" s="61">
        <v>706906</v>
      </c>
      <c r="H19" s="61">
        <v>16498131</v>
      </c>
      <c r="I19" s="227" t="s">
        <v>838</v>
      </c>
      <c r="J19" s="61">
        <v>205215</v>
      </c>
      <c r="K19" s="61">
        <v>335972</v>
      </c>
      <c r="L19" s="61">
        <v>65578</v>
      </c>
      <c r="M19" s="61">
        <v>981218</v>
      </c>
      <c r="N19" s="61">
        <v>261191</v>
      </c>
      <c r="O19" s="61">
        <v>91734</v>
      </c>
      <c r="P19" s="141">
        <v>225145</v>
      </c>
    </row>
    <row r="20" spans="1:16" s="24" customFormat="1" ht="21.75" customHeight="1">
      <c r="A20" s="142">
        <v>2002</v>
      </c>
      <c r="B20" s="255" t="s">
        <v>837</v>
      </c>
      <c r="C20" s="143">
        <v>43532396</v>
      </c>
      <c r="D20" s="61">
        <v>468878</v>
      </c>
      <c r="E20" s="61">
        <v>827086</v>
      </c>
      <c r="F20" s="61">
        <v>2801672</v>
      </c>
      <c r="G20" s="61">
        <v>722584</v>
      </c>
      <c r="H20" s="61">
        <v>18723087</v>
      </c>
      <c r="I20" s="227" t="s">
        <v>838</v>
      </c>
      <c r="J20" s="61">
        <v>238078</v>
      </c>
      <c r="K20" s="61">
        <v>660023</v>
      </c>
      <c r="L20" s="61">
        <v>125618</v>
      </c>
      <c r="M20" s="61">
        <v>2741313</v>
      </c>
      <c r="N20" s="61">
        <v>852134</v>
      </c>
      <c r="O20" s="61">
        <v>171734</v>
      </c>
      <c r="P20" s="141">
        <v>468573</v>
      </c>
    </row>
    <row r="21" spans="1:16" s="14" customFormat="1" ht="5.25" customHeight="1">
      <c r="A21" s="142"/>
      <c r="B21" s="48"/>
      <c r="C21" s="143"/>
      <c r="D21" s="61"/>
      <c r="E21" s="61"/>
      <c r="F21" s="61"/>
      <c r="G21" s="61"/>
      <c r="H21" s="61"/>
      <c r="I21" s="62"/>
      <c r="J21" s="61"/>
      <c r="K21" s="61"/>
      <c r="L21" s="61"/>
      <c r="M21" s="61"/>
      <c r="N21" s="61"/>
      <c r="O21" s="61"/>
      <c r="P21" s="141"/>
    </row>
    <row r="22" spans="1:16" s="24" customFormat="1" ht="16.5" customHeight="1">
      <c r="A22" s="142" t="s">
        <v>625</v>
      </c>
      <c r="B22" s="255" t="s">
        <v>846</v>
      </c>
      <c r="C22" s="143">
        <v>41615855</v>
      </c>
      <c r="D22" s="61">
        <v>456843</v>
      </c>
      <c r="E22" s="61">
        <v>803606</v>
      </c>
      <c r="F22" s="61">
        <v>2610482</v>
      </c>
      <c r="G22" s="61">
        <v>565987</v>
      </c>
      <c r="H22" s="61">
        <v>16940867</v>
      </c>
      <c r="I22" s="227" t="s">
        <v>838</v>
      </c>
      <c r="J22" s="61">
        <v>359586</v>
      </c>
      <c r="K22" s="61">
        <v>610057</v>
      </c>
      <c r="L22" s="61">
        <v>272780</v>
      </c>
      <c r="M22" s="61">
        <v>4394101</v>
      </c>
      <c r="N22" s="61">
        <v>922359</v>
      </c>
      <c r="O22" s="61">
        <v>171734</v>
      </c>
      <c r="P22" s="141">
        <v>411364</v>
      </c>
    </row>
    <row r="23" spans="1:16" s="24" customFormat="1" ht="21.75" customHeight="1">
      <c r="A23" s="142">
        <v>2003</v>
      </c>
      <c r="B23" s="255" t="s">
        <v>837</v>
      </c>
      <c r="C23" s="143">
        <v>41615855</v>
      </c>
      <c r="D23" s="61">
        <v>456843</v>
      </c>
      <c r="E23" s="61">
        <v>803606</v>
      </c>
      <c r="F23" s="61">
        <v>2610482</v>
      </c>
      <c r="G23" s="61">
        <v>565987</v>
      </c>
      <c r="H23" s="61">
        <v>16940867</v>
      </c>
      <c r="I23" s="227" t="s">
        <v>838</v>
      </c>
      <c r="J23" s="61">
        <v>359586</v>
      </c>
      <c r="K23" s="61">
        <v>610057</v>
      </c>
      <c r="L23" s="61">
        <v>272780</v>
      </c>
      <c r="M23" s="61">
        <v>4394101</v>
      </c>
      <c r="N23" s="61">
        <v>922359</v>
      </c>
      <c r="O23" s="61">
        <v>171734</v>
      </c>
      <c r="P23" s="141">
        <v>411364</v>
      </c>
    </row>
    <row r="24" spans="1:16" s="14" customFormat="1" ht="5.25" customHeight="1">
      <c r="A24" s="142"/>
      <c r="B24" s="48"/>
      <c r="C24" s="143"/>
      <c r="D24" s="61"/>
      <c r="E24" s="61"/>
      <c r="F24" s="61"/>
      <c r="G24" s="61"/>
      <c r="H24" s="61"/>
      <c r="I24" s="62"/>
      <c r="J24" s="61"/>
      <c r="K24" s="61"/>
      <c r="L24" s="61"/>
      <c r="M24" s="61"/>
      <c r="N24" s="61"/>
      <c r="O24" s="61"/>
      <c r="P24" s="141"/>
    </row>
    <row r="25" spans="1:16" s="24" customFormat="1" ht="16.5" customHeight="1">
      <c r="A25" s="142" t="s">
        <v>626</v>
      </c>
      <c r="B25" s="255" t="s">
        <v>846</v>
      </c>
      <c r="C25" s="143">
        <v>47639407</v>
      </c>
      <c r="D25" s="61">
        <v>417469</v>
      </c>
      <c r="E25" s="61">
        <v>862253</v>
      </c>
      <c r="F25" s="61">
        <v>2760095</v>
      </c>
      <c r="G25" s="61">
        <v>583115</v>
      </c>
      <c r="H25" s="61">
        <v>20487851</v>
      </c>
      <c r="I25" s="227" t="s">
        <v>851</v>
      </c>
      <c r="J25" s="61">
        <v>493051</v>
      </c>
      <c r="K25" s="61">
        <v>1674765</v>
      </c>
      <c r="L25" s="61">
        <v>74276</v>
      </c>
      <c r="M25" s="61">
        <v>4294626</v>
      </c>
      <c r="N25" s="61">
        <v>978665</v>
      </c>
      <c r="O25" s="61">
        <v>186510</v>
      </c>
      <c r="P25" s="141">
        <v>368195</v>
      </c>
    </row>
    <row r="26" spans="1:16" s="24" customFormat="1" ht="21.75" customHeight="1">
      <c r="A26" s="142">
        <v>2004</v>
      </c>
      <c r="B26" s="255" t="s">
        <v>837</v>
      </c>
      <c r="C26" s="143">
        <v>47639407</v>
      </c>
      <c r="D26" s="61">
        <v>417469</v>
      </c>
      <c r="E26" s="61">
        <v>862253</v>
      </c>
      <c r="F26" s="61">
        <v>2760095</v>
      </c>
      <c r="G26" s="61">
        <v>583115</v>
      </c>
      <c r="H26" s="61">
        <v>20487851</v>
      </c>
      <c r="I26" s="227" t="s">
        <v>851</v>
      </c>
      <c r="J26" s="61">
        <v>493051</v>
      </c>
      <c r="K26" s="61">
        <v>1674765</v>
      </c>
      <c r="L26" s="61">
        <v>74276</v>
      </c>
      <c r="M26" s="61">
        <v>4294626</v>
      </c>
      <c r="N26" s="61">
        <v>978665</v>
      </c>
      <c r="O26" s="61">
        <v>186510</v>
      </c>
      <c r="P26" s="141">
        <v>368195</v>
      </c>
    </row>
    <row r="27" spans="1:16" s="14" customFormat="1" ht="5.25" customHeight="1">
      <c r="A27" s="142"/>
      <c r="B27" s="48"/>
      <c r="C27" s="143"/>
      <c r="D27" s="61"/>
      <c r="E27" s="61"/>
      <c r="F27" s="61"/>
      <c r="G27" s="61"/>
      <c r="H27" s="61"/>
      <c r="I27" s="62"/>
      <c r="J27" s="61"/>
      <c r="K27" s="61"/>
      <c r="L27" s="61"/>
      <c r="M27" s="61"/>
      <c r="N27" s="61"/>
      <c r="O27" s="61"/>
      <c r="P27" s="141"/>
    </row>
    <row r="28" spans="1:16" s="24" customFormat="1" ht="20.25" customHeight="1">
      <c r="A28" s="142" t="s">
        <v>627</v>
      </c>
      <c r="B28" s="255" t="s">
        <v>628</v>
      </c>
      <c r="C28" s="143">
        <v>47885960</v>
      </c>
      <c r="D28" s="61">
        <v>369429</v>
      </c>
      <c r="E28" s="61">
        <v>904660</v>
      </c>
      <c r="F28" s="61">
        <v>2708430</v>
      </c>
      <c r="G28" s="61">
        <v>573452</v>
      </c>
      <c r="H28" s="61">
        <v>20256757</v>
      </c>
      <c r="I28" s="227" t="s">
        <v>838</v>
      </c>
      <c r="J28" s="61">
        <v>786383</v>
      </c>
      <c r="K28" s="61">
        <v>1981874</v>
      </c>
      <c r="L28" s="61">
        <v>113027</v>
      </c>
      <c r="M28" s="61">
        <v>3227870</v>
      </c>
      <c r="N28" s="61">
        <v>993750</v>
      </c>
      <c r="O28" s="61">
        <v>174647</v>
      </c>
      <c r="P28" s="141">
        <v>342389</v>
      </c>
    </row>
    <row r="29" spans="1:16" s="24" customFormat="1" ht="25.5" customHeight="1">
      <c r="A29" s="142">
        <v>2005</v>
      </c>
      <c r="B29" s="255" t="s">
        <v>837</v>
      </c>
      <c r="C29" s="143">
        <v>47885960</v>
      </c>
      <c r="D29" s="61">
        <v>369429</v>
      </c>
      <c r="E29" s="61">
        <v>904660</v>
      </c>
      <c r="F29" s="61">
        <v>2708430</v>
      </c>
      <c r="G29" s="61">
        <v>573452</v>
      </c>
      <c r="H29" s="61">
        <v>20256757</v>
      </c>
      <c r="I29" s="227" t="s">
        <v>838</v>
      </c>
      <c r="J29" s="61">
        <v>786383</v>
      </c>
      <c r="K29" s="61">
        <v>1981874</v>
      </c>
      <c r="L29" s="61">
        <v>113027</v>
      </c>
      <c r="M29" s="61">
        <v>3227870</v>
      </c>
      <c r="N29" s="61">
        <v>993750</v>
      </c>
      <c r="O29" s="61">
        <v>174647</v>
      </c>
      <c r="P29" s="141">
        <v>342389</v>
      </c>
    </row>
    <row r="30" spans="1:16" s="14" customFormat="1" ht="5.25" customHeight="1">
      <c r="A30" s="142"/>
      <c r="B30" s="48"/>
      <c r="C30" s="143"/>
      <c r="D30" s="61"/>
      <c r="E30" s="61"/>
      <c r="F30" s="61"/>
      <c r="G30" s="61"/>
      <c r="H30" s="61"/>
      <c r="I30" s="62"/>
      <c r="J30" s="61"/>
      <c r="K30" s="61"/>
      <c r="L30" s="61"/>
      <c r="M30" s="61"/>
      <c r="N30" s="61"/>
      <c r="O30" s="61"/>
      <c r="P30" s="141"/>
    </row>
    <row r="31" spans="1:16" s="24" customFormat="1" ht="16.5" customHeight="1">
      <c r="A31" s="142" t="s">
        <v>629</v>
      </c>
      <c r="B31" s="255" t="s">
        <v>846</v>
      </c>
      <c r="C31" s="143">
        <v>48077223</v>
      </c>
      <c r="D31" s="61">
        <v>383485</v>
      </c>
      <c r="E31" s="61">
        <v>950421</v>
      </c>
      <c r="F31" s="61">
        <v>2880334</v>
      </c>
      <c r="G31" s="144">
        <v>569979</v>
      </c>
      <c r="H31" s="144">
        <v>21557669</v>
      </c>
      <c r="I31" s="272" t="s">
        <v>838</v>
      </c>
      <c r="J31" s="144">
        <v>605999</v>
      </c>
      <c r="K31" s="144">
        <v>1447873</v>
      </c>
      <c r="L31" s="144">
        <v>134295</v>
      </c>
      <c r="M31" s="144">
        <v>2352711</v>
      </c>
      <c r="N31" s="144">
        <v>976399</v>
      </c>
      <c r="O31" s="144">
        <v>172019</v>
      </c>
      <c r="P31" s="145">
        <v>365493</v>
      </c>
    </row>
    <row r="32" spans="1:16" s="24" customFormat="1" ht="21.75" customHeight="1">
      <c r="A32" s="142">
        <v>2006</v>
      </c>
      <c r="B32" s="255" t="s">
        <v>837</v>
      </c>
      <c r="C32" s="143">
        <v>48077223</v>
      </c>
      <c r="D32" s="61">
        <v>383485</v>
      </c>
      <c r="E32" s="61">
        <v>950421</v>
      </c>
      <c r="F32" s="61">
        <v>2880334</v>
      </c>
      <c r="G32" s="61">
        <v>569979</v>
      </c>
      <c r="H32" s="61">
        <v>21557669</v>
      </c>
      <c r="I32" s="227" t="s">
        <v>838</v>
      </c>
      <c r="J32" s="61">
        <v>605999</v>
      </c>
      <c r="K32" s="61">
        <v>1447873</v>
      </c>
      <c r="L32" s="61">
        <v>134295</v>
      </c>
      <c r="M32" s="61">
        <v>2352711</v>
      </c>
      <c r="N32" s="61">
        <v>976399</v>
      </c>
      <c r="O32" s="61">
        <v>172019</v>
      </c>
      <c r="P32" s="141">
        <v>365493</v>
      </c>
    </row>
    <row r="33" spans="1:16" s="1" customFormat="1" ht="5.25" customHeight="1">
      <c r="A33" s="142"/>
      <c r="B33" s="48"/>
      <c r="C33" s="143"/>
      <c r="D33" s="61"/>
      <c r="E33" s="61"/>
      <c r="F33" s="61"/>
      <c r="G33" s="61"/>
      <c r="H33" s="61"/>
      <c r="I33" s="62"/>
      <c r="J33" s="61"/>
      <c r="K33" s="61"/>
      <c r="L33" s="61"/>
      <c r="M33" s="61"/>
      <c r="N33" s="61"/>
      <c r="O33" s="61"/>
      <c r="P33" s="141"/>
    </row>
    <row r="34" spans="1:16" s="24" customFormat="1" ht="16.5" customHeight="1">
      <c r="A34" s="142" t="s">
        <v>630</v>
      </c>
      <c r="B34" s="255" t="s">
        <v>846</v>
      </c>
      <c r="C34" s="143">
        <v>45882632</v>
      </c>
      <c r="D34" s="61">
        <v>374065</v>
      </c>
      <c r="E34" s="61">
        <v>796158</v>
      </c>
      <c r="F34" s="61">
        <v>3273231</v>
      </c>
      <c r="G34" s="144">
        <v>519254</v>
      </c>
      <c r="H34" s="144">
        <v>20604040</v>
      </c>
      <c r="I34" s="227" t="s">
        <v>838</v>
      </c>
      <c r="J34" s="144">
        <v>328049</v>
      </c>
      <c r="K34" s="144">
        <v>1749952</v>
      </c>
      <c r="L34" s="144">
        <v>88085</v>
      </c>
      <c r="M34" s="144">
        <v>1824525</v>
      </c>
      <c r="N34" s="144">
        <v>806667</v>
      </c>
      <c r="O34" s="144">
        <v>163654</v>
      </c>
      <c r="P34" s="145">
        <v>377438</v>
      </c>
    </row>
    <row r="35" spans="1:16" s="24" customFormat="1" ht="21.75" customHeight="1">
      <c r="A35" s="142">
        <v>2007</v>
      </c>
      <c r="B35" s="255" t="s">
        <v>837</v>
      </c>
      <c r="C35" s="143">
        <v>45882632</v>
      </c>
      <c r="D35" s="61">
        <v>374065</v>
      </c>
      <c r="E35" s="61">
        <v>796158</v>
      </c>
      <c r="F35" s="61">
        <v>3273231</v>
      </c>
      <c r="G35" s="61">
        <v>519254</v>
      </c>
      <c r="H35" s="61">
        <v>20604040</v>
      </c>
      <c r="I35" s="227" t="s">
        <v>838</v>
      </c>
      <c r="J35" s="61">
        <v>328049</v>
      </c>
      <c r="K35" s="61">
        <v>1749952</v>
      </c>
      <c r="L35" s="61">
        <v>88085</v>
      </c>
      <c r="M35" s="61">
        <v>1824525</v>
      </c>
      <c r="N35" s="61">
        <v>806667</v>
      </c>
      <c r="O35" s="61">
        <v>163654</v>
      </c>
      <c r="P35" s="141">
        <v>377438</v>
      </c>
    </row>
    <row r="36" spans="1:16" s="1" customFormat="1" ht="5.25" customHeight="1">
      <c r="A36" s="142"/>
      <c r="B36" s="48"/>
      <c r="C36" s="143"/>
      <c r="D36" s="61"/>
      <c r="E36" s="61"/>
      <c r="F36" s="61"/>
      <c r="G36" s="61"/>
      <c r="H36" s="61"/>
      <c r="I36" s="62"/>
      <c r="J36" s="61"/>
      <c r="K36" s="61"/>
      <c r="L36" s="61"/>
      <c r="M36" s="61"/>
      <c r="N36" s="61"/>
      <c r="O36" s="61"/>
      <c r="P36" s="141"/>
    </row>
    <row r="37" spans="1:16" s="24" customFormat="1" ht="16.5" customHeight="1">
      <c r="A37" s="142" t="s">
        <v>631</v>
      </c>
      <c r="B37" s="255" t="s">
        <v>846</v>
      </c>
      <c r="C37" s="143">
        <f>SUM(D37:P37)+SUM('6-4歲出預決算-按政事別分(預算)續完'!C37:O37)</f>
        <v>49605121</v>
      </c>
      <c r="D37" s="61">
        <v>359098</v>
      </c>
      <c r="E37" s="61">
        <v>1065646</v>
      </c>
      <c r="F37" s="61">
        <v>2839004</v>
      </c>
      <c r="G37" s="144">
        <v>1018735</v>
      </c>
      <c r="H37" s="144">
        <v>19305596</v>
      </c>
      <c r="I37" s="227" t="s">
        <v>838</v>
      </c>
      <c r="J37" s="144">
        <v>353441</v>
      </c>
      <c r="K37" s="144">
        <v>2597822</v>
      </c>
      <c r="L37" s="144">
        <v>100297</v>
      </c>
      <c r="M37" s="144">
        <v>3668721</v>
      </c>
      <c r="N37" s="144">
        <v>772371</v>
      </c>
      <c r="O37" s="144">
        <v>175388</v>
      </c>
      <c r="P37" s="145">
        <v>411071</v>
      </c>
    </row>
    <row r="38" spans="1:16" s="24" customFormat="1" ht="21.75" customHeight="1" thickBot="1">
      <c r="A38" s="63">
        <v>2008</v>
      </c>
      <c r="B38" s="256" t="s">
        <v>837</v>
      </c>
      <c r="C38" s="146">
        <f>SUM(D38:P38)+SUM('6-4歲出預決算-按政事別分(預算)續完'!C38:O38)</f>
        <v>49605121</v>
      </c>
      <c r="D38" s="147">
        <v>359098</v>
      </c>
      <c r="E38" s="147">
        <v>1065646</v>
      </c>
      <c r="F38" s="147">
        <v>2839004</v>
      </c>
      <c r="G38" s="147">
        <v>1018735</v>
      </c>
      <c r="H38" s="147">
        <v>19305596</v>
      </c>
      <c r="I38" s="229" t="s">
        <v>838</v>
      </c>
      <c r="J38" s="147">
        <v>353441</v>
      </c>
      <c r="K38" s="147">
        <v>2597822</v>
      </c>
      <c r="L38" s="147">
        <v>100297</v>
      </c>
      <c r="M38" s="147">
        <v>3668721</v>
      </c>
      <c r="N38" s="147">
        <v>772371</v>
      </c>
      <c r="O38" s="147">
        <v>175388</v>
      </c>
      <c r="P38" s="148">
        <v>411071</v>
      </c>
    </row>
    <row r="39" spans="1:9" s="52" customFormat="1" ht="12.75">
      <c r="A39" s="213" t="s">
        <v>632</v>
      </c>
      <c r="I39" s="51" t="s">
        <v>633</v>
      </c>
    </row>
  </sheetData>
  <mergeCells count="7">
    <mergeCell ref="I2:P2"/>
    <mergeCell ref="A3:H3"/>
    <mergeCell ref="I3:P3"/>
    <mergeCell ref="A13:A14"/>
    <mergeCell ref="A6:B6"/>
    <mergeCell ref="A5:B5"/>
    <mergeCell ref="A2:H2"/>
  </mergeCells>
  <printOptions/>
  <pageMargins left="1.1811023622047245" right="1.1811023622047245" top="1.5748031496062993" bottom="1.5748031496062993" header="0.5118110236220472" footer="0.9055118110236221"/>
  <pageSetup firstPageNumber="264"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6.xml><?xml version="1.0" encoding="utf-8"?>
<worksheet xmlns="http://schemas.openxmlformats.org/spreadsheetml/2006/main" xmlns:r="http://schemas.openxmlformats.org/officeDocument/2006/relationships">
  <sheetPr>
    <tabColor indexed="17"/>
  </sheetPr>
  <dimension ref="A1:O39"/>
  <sheetViews>
    <sheetView showGridLines="0" zoomScale="120" zoomScaleNormal="120" workbookViewId="0" topLeftCell="A1">
      <selection activeCell="A1" sqref="A1"/>
    </sheetView>
  </sheetViews>
  <sheetFormatPr defaultColWidth="9.00390625" defaultRowHeight="16.5"/>
  <cols>
    <col min="1" max="1" width="11.125" style="13" customWidth="1"/>
    <col min="2" max="2" width="13.625" style="13" customWidth="1"/>
    <col min="3" max="3" width="10.625" style="13" customWidth="1"/>
    <col min="4" max="4" width="9.625" style="13" customWidth="1"/>
    <col min="5" max="5" width="10.125" style="13" customWidth="1"/>
    <col min="6" max="6" width="9.125" style="13" customWidth="1"/>
    <col min="7" max="7" width="10.625" style="13" customWidth="1"/>
    <col min="8" max="8" width="9.00390625" style="13" customWidth="1"/>
    <col min="9" max="9" width="8.125" style="13" customWidth="1"/>
    <col min="10" max="10" width="9.375" style="13" customWidth="1"/>
    <col min="11" max="11" width="8.625" style="13" customWidth="1"/>
    <col min="12" max="12" width="11.625" style="13" customWidth="1"/>
    <col min="13" max="13" width="11.875" style="13" customWidth="1"/>
    <col min="14" max="14" width="8.625" style="13" customWidth="1"/>
    <col min="15" max="15" width="7.625" style="13" customWidth="1"/>
    <col min="16" max="16384" width="9.00390625" style="13" customWidth="1"/>
  </cols>
  <sheetData>
    <row r="1" spans="1:15" s="14" customFormat="1" ht="19.5" customHeight="1">
      <c r="A1" s="177" t="s">
        <v>615</v>
      </c>
      <c r="B1" s="26"/>
      <c r="C1" s="26"/>
      <c r="O1" s="49" t="s">
        <v>616</v>
      </c>
    </row>
    <row r="2" spans="1:15" s="16" customFormat="1" ht="36" customHeight="1">
      <c r="A2" s="434" t="s">
        <v>852</v>
      </c>
      <c r="B2" s="433"/>
      <c r="C2" s="433"/>
      <c r="D2" s="433"/>
      <c r="E2" s="433"/>
      <c r="F2" s="433"/>
      <c r="G2" s="433"/>
      <c r="H2" s="442" t="s">
        <v>979</v>
      </c>
      <c r="I2" s="442"/>
      <c r="J2" s="442"/>
      <c r="K2" s="442"/>
      <c r="L2" s="442"/>
      <c r="M2" s="442"/>
      <c r="N2" s="442"/>
      <c r="O2" s="442"/>
    </row>
    <row r="3" spans="1:15" s="367" customFormat="1" ht="18" customHeight="1">
      <c r="A3" s="438" t="s">
        <v>363</v>
      </c>
      <c r="B3" s="439"/>
      <c r="C3" s="439"/>
      <c r="D3" s="439"/>
      <c r="E3" s="439"/>
      <c r="F3" s="439"/>
      <c r="G3" s="439"/>
      <c r="H3" s="439" t="s">
        <v>364</v>
      </c>
      <c r="I3" s="439"/>
      <c r="J3" s="439"/>
      <c r="K3" s="439"/>
      <c r="L3" s="439"/>
      <c r="M3" s="439"/>
      <c r="N3" s="439"/>
      <c r="O3" s="439"/>
    </row>
    <row r="4" spans="1:15" s="52" customFormat="1" ht="15" customHeight="1" thickBot="1">
      <c r="A4" s="149"/>
      <c r="B4" s="149"/>
      <c r="C4" s="55"/>
      <c r="D4" s="55"/>
      <c r="E4" s="55"/>
      <c r="F4" s="55"/>
      <c r="G4" s="214" t="s">
        <v>802</v>
      </c>
      <c r="I4" s="55"/>
      <c r="J4" s="55"/>
      <c r="K4" s="55"/>
      <c r="M4" s="150"/>
      <c r="N4" s="150"/>
      <c r="O4" s="63" t="s">
        <v>803</v>
      </c>
    </row>
    <row r="5" spans="1:15" s="1" customFormat="1" ht="27.75" customHeight="1">
      <c r="A5" s="448" t="s">
        <v>804</v>
      </c>
      <c r="B5" s="449"/>
      <c r="C5" s="274" t="s">
        <v>723</v>
      </c>
      <c r="D5" s="220" t="s">
        <v>724</v>
      </c>
      <c r="E5" s="220" t="s">
        <v>725</v>
      </c>
      <c r="F5" s="220" t="s">
        <v>726</v>
      </c>
      <c r="G5" s="220" t="s">
        <v>727</v>
      </c>
      <c r="H5" s="219" t="s">
        <v>728</v>
      </c>
      <c r="I5" s="220" t="s">
        <v>729</v>
      </c>
      <c r="J5" s="220" t="s">
        <v>730</v>
      </c>
      <c r="K5" s="220" t="s">
        <v>731</v>
      </c>
      <c r="L5" s="220" t="s">
        <v>732</v>
      </c>
      <c r="M5" s="220" t="s">
        <v>733</v>
      </c>
      <c r="N5" s="220" t="s">
        <v>734</v>
      </c>
      <c r="O5" s="221" t="s">
        <v>735</v>
      </c>
    </row>
    <row r="6" spans="1:15" s="45" customFormat="1" ht="39.75" customHeight="1" thickBot="1">
      <c r="A6" s="436" t="s">
        <v>736</v>
      </c>
      <c r="B6" s="437"/>
      <c r="C6" s="151" t="s">
        <v>737</v>
      </c>
      <c r="D6" s="58" t="s">
        <v>738</v>
      </c>
      <c r="E6" s="58" t="s">
        <v>739</v>
      </c>
      <c r="F6" s="58" t="s">
        <v>740</v>
      </c>
      <c r="G6" s="58" t="s">
        <v>678</v>
      </c>
      <c r="H6" s="57" t="s">
        <v>741</v>
      </c>
      <c r="I6" s="58" t="s">
        <v>662</v>
      </c>
      <c r="J6" s="58" t="s">
        <v>742</v>
      </c>
      <c r="K6" s="58" t="s">
        <v>663</v>
      </c>
      <c r="L6" s="58" t="s">
        <v>664</v>
      </c>
      <c r="M6" s="58" t="s">
        <v>665</v>
      </c>
      <c r="N6" s="58" t="s">
        <v>743</v>
      </c>
      <c r="O6" s="59" t="s">
        <v>744</v>
      </c>
    </row>
    <row r="7" spans="1:15" s="24" customFormat="1" ht="16.5" customHeight="1">
      <c r="A7" s="142" t="s">
        <v>660</v>
      </c>
      <c r="B7" s="255" t="s">
        <v>578</v>
      </c>
      <c r="C7" s="143">
        <v>2383151</v>
      </c>
      <c r="D7" s="226" t="s">
        <v>579</v>
      </c>
      <c r="E7" s="61">
        <v>303740</v>
      </c>
      <c r="F7" s="61">
        <v>19050</v>
      </c>
      <c r="G7" s="61">
        <v>1182525</v>
      </c>
      <c r="H7" s="227" t="s">
        <v>579</v>
      </c>
      <c r="I7" s="61">
        <v>3452425</v>
      </c>
      <c r="J7" s="60">
        <v>43296</v>
      </c>
      <c r="K7" s="226" t="s">
        <v>579</v>
      </c>
      <c r="L7" s="226" t="s">
        <v>579</v>
      </c>
      <c r="M7" s="61">
        <v>1136603</v>
      </c>
      <c r="N7" s="60">
        <v>60000</v>
      </c>
      <c r="O7" s="198">
        <v>3000</v>
      </c>
    </row>
    <row r="8" spans="1:15" s="24" customFormat="1" ht="22.5" customHeight="1">
      <c r="A8" s="142">
        <v>1998</v>
      </c>
      <c r="B8" s="255" t="s">
        <v>837</v>
      </c>
      <c r="C8" s="143">
        <v>2383151</v>
      </c>
      <c r="D8" s="226" t="s">
        <v>838</v>
      </c>
      <c r="E8" s="61">
        <v>303740</v>
      </c>
      <c r="F8" s="61">
        <v>19050</v>
      </c>
      <c r="G8" s="61">
        <v>1182525</v>
      </c>
      <c r="H8" s="227" t="s">
        <v>838</v>
      </c>
      <c r="I8" s="61">
        <v>3452425</v>
      </c>
      <c r="J8" s="60">
        <v>43296</v>
      </c>
      <c r="K8" s="226" t="s">
        <v>838</v>
      </c>
      <c r="L8" s="226" t="s">
        <v>838</v>
      </c>
      <c r="M8" s="61">
        <v>1136603</v>
      </c>
      <c r="N8" s="60">
        <v>60000</v>
      </c>
      <c r="O8" s="198">
        <v>3000</v>
      </c>
    </row>
    <row r="9" spans="1:15" s="14" customFormat="1" ht="5.25" customHeight="1">
      <c r="A9" s="142"/>
      <c r="B9" s="48"/>
      <c r="C9" s="143"/>
      <c r="D9" s="61"/>
      <c r="E9" s="61"/>
      <c r="F9" s="61"/>
      <c r="G9" s="61"/>
      <c r="H9" s="62"/>
      <c r="I9" s="61"/>
      <c r="J9" s="61"/>
      <c r="K9" s="61"/>
      <c r="L9" s="61"/>
      <c r="M9" s="61"/>
      <c r="N9" s="61"/>
      <c r="O9" s="141"/>
    </row>
    <row r="10" spans="1:15" s="24" customFormat="1" ht="16.5" customHeight="1">
      <c r="A10" s="142" t="s">
        <v>621</v>
      </c>
      <c r="B10" s="255" t="s">
        <v>846</v>
      </c>
      <c r="C10" s="143">
        <v>2164352</v>
      </c>
      <c r="D10" s="226" t="s">
        <v>838</v>
      </c>
      <c r="E10" s="61">
        <v>358459</v>
      </c>
      <c r="F10" s="61">
        <v>40618</v>
      </c>
      <c r="G10" s="61">
        <v>994457</v>
      </c>
      <c r="H10" s="227" t="s">
        <v>838</v>
      </c>
      <c r="I10" s="61">
        <v>3636342</v>
      </c>
      <c r="J10" s="60">
        <v>41856</v>
      </c>
      <c r="K10" s="226" t="s">
        <v>838</v>
      </c>
      <c r="L10" s="226" t="s">
        <v>838</v>
      </c>
      <c r="M10" s="61">
        <v>1122456</v>
      </c>
      <c r="N10" s="60">
        <v>60000</v>
      </c>
      <c r="O10" s="198">
        <v>381527</v>
      </c>
    </row>
    <row r="11" spans="1:15" s="24" customFormat="1" ht="22.5" customHeight="1">
      <c r="A11" s="142">
        <v>1999</v>
      </c>
      <c r="B11" s="255" t="s">
        <v>837</v>
      </c>
      <c r="C11" s="143">
        <v>2230484</v>
      </c>
      <c r="D11" s="226" t="s">
        <v>838</v>
      </c>
      <c r="E11" s="61">
        <v>358459</v>
      </c>
      <c r="F11" s="61">
        <v>40618</v>
      </c>
      <c r="G11" s="61">
        <v>994457</v>
      </c>
      <c r="H11" s="227" t="s">
        <v>838</v>
      </c>
      <c r="I11" s="61">
        <v>3706181</v>
      </c>
      <c r="J11" s="60">
        <v>41856</v>
      </c>
      <c r="K11" s="226" t="s">
        <v>838</v>
      </c>
      <c r="L11" s="226" t="s">
        <v>838</v>
      </c>
      <c r="M11" s="61">
        <v>1140075</v>
      </c>
      <c r="N11" s="60">
        <v>60000</v>
      </c>
      <c r="O11" s="198">
        <v>381527</v>
      </c>
    </row>
    <row r="12" spans="1:15" s="14" customFormat="1" ht="5.25" customHeight="1">
      <c r="A12" s="142"/>
      <c r="B12" s="48"/>
      <c r="C12" s="143"/>
      <c r="D12" s="61"/>
      <c r="E12" s="61"/>
      <c r="F12" s="61"/>
      <c r="G12" s="61"/>
      <c r="H12" s="62"/>
      <c r="I12" s="61"/>
      <c r="J12" s="61"/>
      <c r="K12" s="61"/>
      <c r="L12" s="61"/>
      <c r="M12" s="61"/>
      <c r="N12" s="61"/>
      <c r="O12" s="141"/>
    </row>
    <row r="13" spans="1:15" s="24" customFormat="1" ht="16.5" customHeight="1">
      <c r="A13" s="447" t="s">
        <v>666</v>
      </c>
      <c r="B13" s="255" t="s">
        <v>846</v>
      </c>
      <c r="C13" s="143">
        <v>4225950</v>
      </c>
      <c r="D13" s="226" t="s">
        <v>838</v>
      </c>
      <c r="E13" s="61">
        <v>504977</v>
      </c>
      <c r="F13" s="61">
        <v>235905</v>
      </c>
      <c r="G13" s="61">
        <v>1159099</v>
      </c>
      <c r="H13" s="275">
        <v>3780793</v>
      </c>
      <c r="I13" s="61">
        <v>6379973</v>
      </c>
      <c r="J13" s="60">
        <v>47179</v>
      </c>
      <c r="K13" s="226" t="s">
        <v>838</v>
      </c>
      <c r="L13" s="226" t="s">
        <v>838</v>
      </c>
      <c r="M13" s="226" t="s">
        <v>838</v>
      </c>
      <c r="N13" s="60">
        <v>90000</v>
      </c>
      <c r="O13" s="198">
        <v>474212</v>
      </c>
    </row>
    <row r="14" spans="1:15" s="24" customFormat="1" ht="22.5" customHeight="1">
      <c r="A14" s="447"/>
      <c r="B14" s="255" t="s">
        <v>837</v>
      </c>
      <c r="C14" s="143">
        <v>4225950</v>
      </c>
      <c r="D14" s="226" t="s">
        <v>838</v>
      </c>
      <c r="E14" s="61">
        <v>504977</v>
      </c>
      <c r="F14" s="61">
        <v>235905</v>
      </c>
      <c r="G14" s="61">
        <v>1159099</v>
      </c>
      <c r="H14" s="275">
        <v>3780793</v>
      </c>
      <c r="I14" s="61">
        <v>6379973</v>
      </c>
      <c r="J14" s="60">
        <v>47179</v>
      </c>
      <c r="K14" s="226" t="s">
        <v>838</v>
      </c>
      <c r="L14" s="226" t="s">
        <v>838</v>
      </c>
      <c r="M14" s="226" t="s">
        <v>838</v>
      </c>
      <c r="N14" s="60">
        <v>90000</v>
      </c>
      <c r="O14" s="198">
        <v>474212</v>
      </c>
    </row>
    <row r="15" spans="1:15" s="14" customFormat="1" ht="5.25" customHeight="1">
      <c r="A15" s="142"/>
      <c r="B15" s="48"/>
      <c r="C15" s="143"/>
      <c r="D15" s="61"/>
      <c r="E15" s="61"/>
      <c r="F15" s="61"/>
      <c r="G15" s="61"/>
      <c r="H15" s="62"/>
      <c r="I15" s="61"/>
      <c r="J15" s="61"/>
      <c r="K15" s="61"/>
      <c r="L15" s="61"/>
      <c r="M15" s="61"/>
      <c r="N15" s="61"/>
      <c r="O15" s="141"/>
    </row>
    <row r="16" spans="1:15" s="24" customFormat="1" ht="16.5" customHeight="1">
      <c r="A16" s="142" t="s">
        <v>623</v>
      </c>
      <c r="B16" s="255" t="s">
        <v>846</v>
      </c>
      <c r="C16" s="143">
        <v>3229539</v>
      </c>
      <c r="D16" s="226" t="s">
        <v>838</v>
      </c>
      <c r="E16" s="61">
        <v>306936</v>
      </c>
      <c r="F16" s="61">
        <v>25722</v>
      </c>
      <c r="G16" s="61">
        <v>1055065</v>
      </c>
      <c r="H16" s="275">
        <v>2621838</v>
      </c>
      <c r="I16" s="61">
        <v>4418203</v>
      </c>
      <c r="J16" s="60">
        <v>266669</v>
      </c>
      <c r="K16" s="226" t="s">
        <v>838</v>
      </c>
      <c r="L16" s="226" t="s">
        <v>838</v>
      </c>
      <c r="M16" s="226" t="s">
        <v>838</v>
      </c>
      <c r="N16" s="60">
        <v>60000</v>
      </c>
      <c r="O16" s="198">
        <v>394385</v>
      </c>
    </row>
    <row r="17" spans="1:15" s="24" customFormat="1" ht="22.5" customHeight="1">
      <c r="A17" s="142">
        <v>2001</v>
      </c>
      <c r="B17" s="255" t="s">
        <v>837</v>
      </c>
      <c r="C17" s="143">
        <v>3229539</v>
      </c>
      <c r="D17" s="226" t="s">
        <v>838</v>
      </c>
      <c r="E17" s="61">
        <v>306936</v>
      </c>
      <c r="F17" s="61">
        <v>25722</v>
      </c>
      <c r="G17" s="61">
        <v>1055065</v>
      </c>
      <c r="H17" s="275">
        <v>2621838</v>
      </c>
      <c r="I17" s="61">
        <v>4418203</v>
      </c>
      <c r="J17" s="60">
        <v>266669</v>
      </c>
      <c r="K17" s="226" t="s">
        <v>838</v>
      </c>
      <c r="L17" s="226" t="s">
        <v>838</v>
      </c>
      <c r="M17" s="226" t="s">
        <v>838</v>
      </c>
      <c r="N17" s="60">
        <v>60000</v>
      </c>
      <c r="O17" s="198">
        <v>394385</v>
      </c>
    </row>
    <row r="18" spans="1:15" s="14" customFormat="1" ht="5.25" customHeight="1">
      <c r="A18" s="142"/>
      <c r="B18" s="48"/>
      <c r="C18" s="143"/>
      <c r="D18" s="61"/>
      <c r="E18" s="61"/>
      <c r="F18" s="61"/>
      <c r="G18" s="61"/>
      <c r="H18" s="62"/>
      <c r="I18" s="61"/>
      <c r="J18" s="61"/>
      <c r="K18" s="61"/>
      <c r="L18" s="61"/>
      <c r="M18" s="61"/>
      <c r="N18" s="61"/>
      <c r="O18" s="141"/>
    </row>
    <row r="19" spans="1:15" s="24" customFormat="1" ht="16.5" customHeight="1">
      <c r="A19" s="142" t="s">
        <v>624</v>
      </c>
      <c r="B19" s="255" t="s">
        <v>846</v>
      </c>
      <c r="C19" s="143">
        <v>1202848</v>
      </c>
      <c r="D19" s="226" t="s">
        <v>838</v>
      </c>
      <c r="E19" s="61">
        <v>372746</v>
      </c>
      <c r="F19" s="61">
        <v>22139</v>
      </c>
      <c r="G19" s="61">
        <v>1477900</v>
      </c>
      <c r="H19" s="275">
        <v>1540009</v>
      </c>
      <c r="I19" s="61">
        <v>3878525</v>
      </c>
      <c r="J19" s="60">
        <v>290000</v>
      </c>
      <c r="K19" s="226" t="s">
        <v>838</v>
      </c>
      <c r="L19" s="226" t="s">
        <v>838</v>
      </c>
      <c r="M19" s="226" t="s">
        <v>838</v>
      </c>
      <c r="N19" s="60">
        <v>60000</v>
      </c>
      <c r="O19" s="198">
        <v>155486</v>
      </c>
    </row>
    <row r="20" spans="1:15" s="24" customFormat="1" ht="22.5" customHeight="1">
      <c r="A20" s="142">
        <v>2002</v>
      </c>
      <c r="B20" s="255" t="s">
        <v>837</v>
      </c>
      <c r="C20" s="143">
        <v>2316421</v>
      </c>
      <c r="D20" s="226" t="s">
        <v>838</v>
      </c>
      <c r="E20" s="61">
        <v>407892</v>
      </c>
      <c r="F20" s="61">
        <v>22139</v>
      </c>
      <c r="G20" s="61">
        <v>1613667</v>
      </c>
      <c r="H20" s="275">
        <v>2475009</v>
      </c>
      <c r="I20" s="61">
        <v>4259701</v>
      </c>
      <c r="J20" s="60">
        <v>764663</v>
      </c>
      <c r="K20" s="226" t="s">
        <v>838</v>
      </c>
      <c r="L20" s="226" t="s">
        <v>838</v>
      </c>
      <c r="M20" s="226" t="s">
        <v>838</v>
      </c>
      <c r="N20" s="60">
        <v>60000</v>
      </c>
      <c r="O20" s="198">
        <v>2812124</v>
      </c>
    </row>
    <row r="21" spans="1:15" s="14" customFormat="1" ht="5.25" customHeight="1">
      <c r="A21" s="142"/>
      <c r="B21" s="48"/>
      <c r="C21" s="143"/>
      <c r="D21" s="61"/>
      <c r="E21" s="61"/>
      <c r="F21" s="61"/>
      <c r="G21" s="61"/>
      <c r="H21" s="62"/>
      <c r="I21" s="61"/>
      <c r="J21" s="61"/>
      <c r="K21" s="61"/>
      <c r="L21" s="61"/>
      <c r="M21" s="61"/>
      <c r="N21" s="61"/>
      <c r="O21" s="141"/>
    </row>
    <row r="22" spans="1:15" s="24" customFormat="1" ht="16.5" customHeight="1">
      <c r="A22" s="142" t="s">
        <v>625</v>
      </c>
      <c r="B22" s="255" t="s">
        <v>846</v>
      </c>
      <c r="C22" s="143">
        <v>2089527</v>
      </c>
      <c r="D22" s="226" t="s">
        <v>838</v>
      </c>
      <c r="E22" s="61">
        <v>354431</v>
      </c>
      <c r="F22" s="61">
        <v>24019</v>
      </c>
      <c r="G22" s="61">
        <v>1696565</v>
      </c>
      <c r="H22" s="275">
        <v>2917684</v>
      </c>
      <c r="I22" s="61">
        <v>4284112</v>
      </c>
      <c r="J22" s="60">
        <v>650000</v>
      </c>
      <c r="K22" s="226" t="s">
        <v>838</v>
      </c>
      <c r="L22" s="226" t="s">
        <v>838</v>
      </c>
      <c r="M22" s="226" t="s">
        <v>838</v>
      </c>
      <c r="N22" s="60">
        <v>80000</v>
      </c>
      <c r="O22" s="198">
        <v>999751</v>
      </c>
    </row>
    <row r="23" spans="1:15" s="24" customFormat="1" ht="22.5" customHeight="1">
      <c r="A23" s="142">
        <v>2003</v>
      </c>
      <c r="B23" s="255" t="s">
        <v>837</v>
      </c>
      <c r="C23" s="143">
        <v>2089527</v>
      </c>
      <c r="D23" s="226" t="s">
        <v>838</v>
      </c>
      <c r="E23" s="61">
        <v>354431</v>
      </c>
      <c r="F23" s="61">
        <v>24019</v>
      </c>
      <c r="G23" s="61">
        <v>1696565</v>
      </c>
      <c r="H23" s="275">
        <v>2917684</v>
      </c>
      <c r="I23" s="61">
        <v>4284112</v>
      </c>
      <c r="J23" s="60">
        <v>650000</v>
      </c>
      <c r="K23" s="226" t="s">
        <v>838</v>
      </c>
      <c r="L23" s="226" t="s">
        <v>838</v>
      </c>
      <c r="M23" s="226" t="s">
        <v>838</v>
      </c>
      <c r="N23" s="60">
        <v>80000</v>
      </c>
      <c r="O23" s="198">
        <v>999751</v>
      </c>
    </row>
    <row r="24" spans="1:15" s="14" customFormat="1" ht="5.25" customHeight="1">
      <c r="A24" s="142"/>
      <c r="B24" s="48"/>
      <c r="C24" s="143"/>
      <c r="D24" s="61"/>
      <c r="E24" s="61"/>
      <c r="F24" s="61"/>
      <c r="G24" s="61"/>
      <c r="H24" s="62"/>
      <c r="I24" s="61"/>
      <c r="J24" s="61"/>
      <c r="K24" s="61"/>
      <c r="L24" s="61"/>
      <c r="M24" s="61"/>
      <c r="N24" s="61"/>
      <c r="O24" s="141"/>
    </row>
    <row r="25" spans="1:15" s="24" customFormat="1" ht="16.5" customHeight="1">
      <c r="A25" s="142" t="s">
        <v>626</v>
      </c>
      <c r="B25" s="255" t="s">
        <v>846</v>
      </c>
      <c r="C25" s="143">
        <v>2600986</v>
      </c>
      <c r="D25" s="226" t="s">
        <v>851</v>
      </c>
      <c r="E25" s="61">
        <v>498072</v>
      </c>
      <c r="F25" s="61">
        <v>89208</v>
      </c>
      <c r="G25" s="61">
        <v>1565214</v>
      </c>
      <c r="H25" s="275">
        <v>3859116</v>
      </c>
      <c r="I25" s="61">
        <v>4229392</v>
      </c>
      <c r="J25" s="60">
        <v>521548</v>
      </c>
      <c r="K25" s="226" t="s">
        <v>851</v>
      </c>
      <c r="L25" s="226" t="s">
        <v>851</v>
      </c>
      <c r="M25" s="226" t="s">
        <v>851</v>
      </c>
      <c r="N25" s="60">
        <v>80000</v>
      </c>
      <c r="O25" s="198">
        <v>1015000</v>
      </c>
    </row>
    <row r="26" spans="1:15" s="24" customFormat="1" ht="22.5" customHeight="1">
      <c r="A26" s="142">
        <v>2004</v>
      </c>
      <c r="B26" s="255" t="s">
        <v>837</v>
      </c>
      <c r="C26" s="143">
        <v>2600986</v>
      </c>
      <c r="D26" s="226" t="s">
        <v>851</v>
      </c>
      <c r="E26" s="61">
        <v>498072</v>
      </c>
      <c r="F26" s="61">
        <v>89208</v>
      </c>
      <c r="G26" s="61">
        <v>1565214</v>
      </c>
      <c r="H26" s="275">
        <v>3859116</v>
      </c>
      <c r="I26" s="61">
        <v>4229392</v>
      </c>
      <c r="J26" s="60">
        <v>521548</v>
      </c>
      <c r="K26" s="226" t="s">
        <v>851</v>
      </c>
      <c r="L26" s="226" t="s">
        <v>851</v>
      </c>
      <c r="M26" s="226" t="s">
        <v>851</v>
      </c>
      <c r="N26" s="60">
        <v>80000</v>
      </c>
      <c r="O26" s="198">
        <v>1015000</v>
      </c>
    </row>
    <row r="27" spans="1:15" s="14" customFormat="1" ht="5.25" customHeight="1">
      <c r="A27" s="142"/>
      <c r="B27" s="48"/>
      <c r="C27" s="143"/>
      <c r="D27" s="61"/>
      <c r="E27" s="61"/>
      <c r="F27" s="61"/>
      <c r="G27" s="61"/>
      <c r="H27" s="62"/>
      <c r="I27" s="61"/>
      <c r="J27" s="61"/>
      <c r="K27" s="61"/>
      <c r="L27" s="61"/>
      <c r="M27" s="61"/>
      <c r="N27" s="61"/>
      <c r="O27" s="141"/>
    </row>
    <row r="28" spans="1:15" s="24" customFormat="1" ht="16.5" customHeight="1">
      <c r="A28" s="142" t="s">
        <v>627</v>
      </c>
      <c r="B28" s="255" t="s">
        <v>628</v>
      </c>
      <c r="C28" s="143">
        <v>2860079</v>
      </c>
      <c r="D28" s="226" t="s">
        <v>838</v>
      </c>
      <c r="E28" s="61">
        <v>582320</v>
      </c>
      <c r="F28" s="61">
        <v>160323</v>
      </c>
      <c r="G28" s="61">
        <v>1837367</v>
      </c>
      <c r="H28" s="275">
        <v>3859802</v>
      </c>
      <c r="I28" s="61">
        <v>4472075</v>
      </c>
      <c r="J28" s="60">
        <v>389406</v>
      </c>
      <c r="K28" s="226" t="s">
        <v>838</v>
      </c>
      <c r="L28" s="226" t="s">
        <v>838</v>
      </c>
      <c r="M28" s="226" t="s">
        <v>838</v>
      </c>
      <c r="N28" s="60">
        <v>80000</v>
      </c>
      <c r="O28" s="198">
        <v>1211920</v>
      </c>
    </row>
    <row r="29" spans="1:15" s="24" customFormat="1" ht="22.5" customHeight="1">
      <c r="A29" s="142">
        <v>2005</v>
      </c>
      <c r="B29" s="255" t="s">
        <v>837</v>
      </c>
      <c r="C29" s="143">
        <v>2860079</v>
      </c>
      <c r="D29" s="226" t="s">
        <v>838</v>
      </c>
      <c r="E29" s="61">
        <v>582320</v>
      </c>
      <c r="F29" s="61">
        <v>160323</v>
      </c>
      <c r="G29" s="61">
        <v>1837367</v>
      </c>
      <c r="H29" s="275">
        <v>3859802</v>
      </c>
      <c r="I29" s="61">
        <v>4472075</v>
      </c>
      <c r="J29" s="60">
        <v>389406</v>
      </c>
      <c r="K29" s="226" t="s">
        <v>838</v>
      </c>
      <c r="L29" s="226" t="s">
        <v>838</v>
      </c>
      <c r="M29" s="226" t="s">
        <v>838</v>
      </c>
      <c r="N29" s="60">
        <v>80000</v>
      </c>
      <c r="O29" s="198">
        <v>1211920</v>
      </c>
    </row>
    <row r="30" spans="1:15" s="14" customFormat="1" ht="5.25" customHeight="1">
      <c r="A30" s="142"/>
      <c r="B30" s="48"/>
      <c r="C30" s="143"/>
      <c r="D30" s="61"/>
      <c r="E30" s="61"/>
      <c r="F30" s="61"/>
      <c r="G30" s="61"/>
      <c r="H30" s="62"/>
      <c r="I30" s="61"/>
      <c r="J30" s="61"/>
      <c r="K30" s="61"/>
      <c r="L30" s="61"/>
      <c r="M30" s="61"/>
      <c r="N30" s="61"/>
      <c r="O30" s="141"/>
    </row>
    <row r="31" spans="1:15" s="24" customFormat="1" ht="16.5" customHeight="1">
      <c r="A31" s="142" t="s">
        <v>629</v>
      </c>
      <c r="B31" s="255" t="s">
        <v>846</v>
      </c>
      <c r="C31" s="143">
        <v>2444934</v>
      </c>
      <c r="D31" s="226" t="s">
        <v>838</v>
      </c>
      <c r="E31" s="61">
        <v>556324</v>
      </c>
      <c r="F31" s="61">
        <v>79964</v>
      </c>
      <c r="G31" s="61">
        <v>2328384</v>
      </c>
      <c r="H31" s="275">
        <v>3888614</v>
      </c>
      <c r="I31" s="61">
        <v>4695406</v>
      </c>
      <c r="J31" s="60">
        <v>400000</v>
      </c>
      <c r="K31" s="226" t="s">
        <v>838</v>
      </c>
      <c r="L31" s="226" t="s">
        <v>838</v>
      </c>
      <c r="M31" s="226" t="s">
        <v>838</v>
      </c>
      <c r="N31" s="60">
        <v>80000</v>
      </c>
      <c r="O31" s="198">
        <v>1206920</v>
      </c>
    </row>
    <row r="32" spans="1:15" s="24" customFormat="1" ht="22.5" customHeight="1">
      <c r="A32" s="142">
        <v>2006</v>
      </c>
      <c r="B32" s="255" t="s">
        <v>837</v>
      </c>
      <c r="C32" s="143">
        <v>2444934</v>
      </c>
      <c r="D32" s="226" t="s">
        <v>838</v>
      </c>
      <c r="E32" s="61">
        <v>556324</v>
      </c>
      <c r="F32" s="61">
        <v>79964</v>
      </c>
      <c r="G32" s="61">
        <v>2328384</v>
      </c>
      <c r="H32" s="275">
        <v>3888614</v>
      </c>
      <c r="I32" s="61">
        <v>4695406</v>
      </c>
      <c r="J32" s="60">
        <v>400000</v>
      </c>
      <c r="K32" s="226" t="s">
        <v>838</v>
      </c>
      <c r="L32" s="226" t="s">
        <v>838</v>
      </c>
      <c r="M32" s="226" t="s">
        <v>838</v>
      </c>
      <c r="N32" s="60">
        <v>80000</v>
      </c>
      <c r="O32" s="198">
        <v>1206920</v>
      </c>
    </row>
    <row r="33" spans="1:15" s="1" customFormat="1" ht="5.25" customHeight="1">
      <c r="A33" s="142"/>
      <c r="B33" s="48"/>
      <c r="C33" s="143"/>
      <c r="D33" s="61"/>
      <c r="E33" s="61"/>
      <c r="F33" s="61"/>
      <c r="G33" s="61"/>
      <c r="H33" s="62"/>
      <c r="I33" s="61"/>
      <c r="J33" s="61"/>
      <c r="K33" s="61"/>
      <c r="L33" s="61"/>
      <c r="M33" s="61"/>
      <c r="N33" s="61"/>
      <c r="O33" s="141"/>
    </row>
    <row r="34" spans="1:15" s="24" customFormat="1" ht="16.5" customHeight="1">
      <c r="A34" s="142" t="s">
        <v>630</v>
      </c>
      <c r="B34" s="255" t="s">
        <v>846</v>
      </c>
      <c r="C34" s="143">
        <v>2783976</v>
      </c>
      <c r="D34" s="226" t="s">
        <v>838</v>
      </c>
      <c r="E34" s="61">
        <v>444802</v>
      </c>
      <c r="F34" s="61">
        <v>8146</v>
      </c>
      <c r="G34" s="61">
        <v>1372822</v>
      </c>
      <c r="H34" s="275">
        <v>3888614</v>
      </c>
      <c r="I34" s="61">
        <v>4740154</v>
      </c>
      <c r="J34" s="60">
        <v>500000</v>
      </c>
      <c r="K34" s="226" t="s">
        <v>838</v>
      </c>
      <c r="L34" s="226" t="s">
        <v>838</v>
      </c>
      <c r="M34" s="226" t="s">
        <v>838</v>
      </c>
      <c r="N34" s="60">
        <v>80000</v>
      </c>
      <c r="O34" s="198">
        <v>1159000</v>
      </c>
    </row>
    <row r="35" spans="1:15" s="24" customFormat="1" ht="22.5" customHeight="1">
      <c r="A35" s="142">
        <v>2007</v>
      </c>
      <c r="B35" s="255" t="s">
        <v>837</v>
      </c>
      <c r="C35" s="143">
        <v>2783976</v>
      </c>
      <c r="D35" s="226" t="s">
        <v>838</v>
      </c>
      <c r="E35" s="61">
        <v>444802</v>
      </c>
      <c r="F35" s="61">
        <v>8146</v>
      </c>
      <c r="G35" s="61">
        <v>1372822</v>
      </c>
      <c r="H35" s="275">
        <v>3888614</v>
      </c>
      <c r="I35" s="61">
        <v>4740154</v>
      </c>
      <c r="J35" s="60">
        <v>500000</v>
      </c>
      <c r="K35" s="226" t="s">
        <v>838</v>
      </c>
      <c r="L35" s="226" t="s">
        <v>838</v>
      </c>
      <c r="M35" s="226" t="s">
        <v>838</v>
      </c>
      <c r="N35" s="60">
        <v>80000</v>
      </c>
      <c r="O35" s="198">
        <v>1159000</v>
      </c>
    </row>
    <row r="36" spans="1:15" s="1" customFormat="1" ht="5.25" customHeight="1">
      <c r="A36" s="142"/>
      <c r="B36" s="48"/>
      <c r="C36" s="143"/>
      <c r="D36" s="61"/>
      <c r="E36" s="61"/>
      <c r="F36" s="61"/>
      <c r="G36" s="61"/>
      <c r="H36" s="62"/>
      <c r="I36" s="61"/>
      <c r="J36" s="61"/>
      <c r="K36" s="61"/>
      <c r="L36" s="61"/>
      <c r="M36" s="61"/>
      <c r="N36" s="61"/>
      <c r="O36" s="141"/>
    </row>
    <row r="37" spans="1:15" s="24" customFormat="1" ht="16.5" customHeight="1">
      <c r="A37" s="142" t="s">
        <v>631</v>
      </c>
      <c r="B37" s="255" t="s">
        <v>846</v>
      </c>
      <c r="C37" s="143">
        <v>3554514</v>
      </c>
      <c r="D37" s="226" t="s">
        <v>838</v>
      </c>
      <c r="E37" s="61">
        <v>475020</v>
      </c>
      <c r="F37" s="61">
        <v>53799</v>
      </c>
      <c r="G37" s="61">
        <v>1615117</v>
      </c>
      <c r="H37" s="275">
        <v>4158991</v>
      </c>
      <c r="I37" s="61">
        <v>5024490</v>
      </c>
      <c r="J37" s="60">
        <v>780000</v>
      </c>
      <c r="K37" s="226" t="s">
        <v>838</v>
      </c>
      <c r="L37" s="226" t="s">
        <v>838</v>
      </c>
      <c r="M37" s="226" t="s">
        <v>838</v>
      </c>
      <c r="N37" s="60">
        <v>80000</v>
      </c>
      <c r="O37" s="198">
        <v>1196000</v>
      </c>
    </row>
    <row r="38" spans="1:15" s="24" customFormat="1" ht="22.5" customHeight="1" thickBot="1">
      <c r="A38" s="63">
        <v>2008</v>
      </c>
      <c r="B38" s="256" t="s">
        <v>837</v>
      </c>
      <c r="C38" s="146">
        <v>3554514</v>
      </c>
      <c r="D38" s="228" t="s">
        <v>838</v>
      </c>
      <c r="E38" s="147">
        <v>475020</v>
      </c>
      <c r="F38" s="147">
        <v>53799</v>
      </c>
      <c r="G38" s="147">
        <v>1615117</v>
      </c>
      <c r="H38" s="276">
        <v>4158991</v>
      </c>
      <c r="I38" s="147">
        <v>5024490</v>
      </c>
      <c r="J38" s="277">
        <v>780000</v>
      </c>
      <c r="K38" s="228" t="s">
        <v>838</v>
      </c>
      <c r="L38" s="228" t="s">
        <v>838</v>
      </c>
      <c r="M38" s="228" t="s">
        <v>838</v>
      </c>
      <c r="N38" s="277">
        <v>80000</v>
      </c>
      <c r="O38" s="278">
        <v>1196000</v>
      </c>
    </row>
    <row r="39" s="14" customFormat="1" ht="13.5">
      <c r="A39" s="152"/>
    </row>
  </sheetData>
  <mergeCells count="7">
    <mergeCell ref="A13:A14"/>
    <mergeCell ref="H2:O2"/>
    <mergeCell ref="H3:O3"/>
    <mergeCell ref="A6:B6"/>
    <mergeCell ref="A5:B5"/>
    <mergeCell ref="A2:G2"/>
    <mergeCell ref="A3:G3"/>
  </mergeCells>
  <printOptions/>
  <pageMargins left="1.1811023622047245" right="1.1811023622047245" top="1.5748031496062993" bottom="1.5748031496062993" header="0.5118110236220472" footer="0.9055118110236221"/>
  <pageSetup firstPageNumber="266"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7.xml><?xml version="1.0" encoding="utf-8"?>
<worksheet xmlns="http://schemas.openxmlformats.org/spreadsheetml/2006/main" xmlns:r="http://schemas.openxmlformats.org/officeDocument/2006/relationships">
  <sheetPr>
    <tabColor indexed="17"/>
  </sheetPr>
  <dimension ref="A1:O27"/>
  <sheetViews>
    <sheetView showGridLines="0" zoomScale="120" zoomScaleNormal="120" workbookViewId="0" topLeftCell="A1">
      <selection activeCell="A1" sqref="A1"/>
    </sheetView>
  </sheetViews>
  <sheetFormatPr defaultColWidth="9.00390625" defaultRowHeight="16.5"/>
  <cols>
    <col min="1" max="1" width="16.625" style="13" customWidth="1"/>
    <col min="2" max="2" width="9.625" style="13" customWidth="1"/>
    <col min="3" max="3" width="10.125" style="13" customWidth="1"/>
    <col min="4" max="7" width="9.625" style="13" customWidth="1"/>
    <col min="8" max="10" width="9.125" style="13" customWidth="1"/>
    <col min="11" max="11" width="9.375" style="13" customWidth="1"/>
    <col min="12" max="12" width="10.125" style="13" customWidth="1"/>
    <col min="13" max="15" width="9.375" style="13" customWidth="1"/>
    <col min="16" max="16384" width="9.00390625" style="13" customWidth="1"/>
  </cols>
  <sheetData>
    <row r="1" spans="1:15" s="14" customFormat="1" ht="19.5" customHeight="1">
      <c r="A1" s="177" t="s">
        <v>615</v>
      </c>
      <c r="B1" s="26"/>
      <c r="O1" s="49" t="s">
        <v>616</v>
      </c>
    </row>
    <row r="2" spans="1:15" s="174" customFormat="1" ht="36" customHeight="1">
      <c r="A2" s="432" t="s">
        <v>672</v>
      </c>
      <c r="B2" s="442"/>
      <c r="C2" s="442"/>
      <c r="D2" s="442"/>
      <c r="E2" s="442"/>
      <c r="F2" s="442"/>
      <c r="G2" s="442"/>
      <c r="H2" s="442" t="s">
        <v>673</v>
      </c>
      <c r="I2" s="442"/>
      <c r="J2" s="442"/>
      <c r="K2" s="442"/>
      <c r="L2" s="442"/>
      <c r="M2" s="442"/>
      <c r="N2" s="442"/>
      <c r="O2" s="442"/>
    </row>
    <row r="3" spans="1:15" s="367" customFormat="1" ht="18" customHeight="1">
      <c r="A3" s="438" t="s">
        <v>361</v>
      </c>
      <c r="B3" s="439"/>
      <c r="C3" s="439"/>
      <c r="D3" s="439"/>
      <c r="E3" s="439"/>
      <c r="F3" s="439"/>
      <c r="G3" s="439"/>
      <c r="H3" s="439" t="s">
        <v>362</v>
      </c>
      <c r="I3" s="439"/>
      <c r="J3" s="439"/>
      <c r="K3" s="439"/>
      <c r="L3" s="439"/>
      <c r="M3" s="439"/>
      <c r="N3" s="439"/>
      <c r="O3" s="439"/>
    </row>
    <row r="4" spans="1:15" s="14" customFormat="1" ht="15" customHeight="1" thickBot="1">
      <c r="A4" s="1"/>
      <c r="B4" s="15"/>
      <c r="C4" s="15"/>
      <c r="D4" s="15"/>
      <c r="E4" s="15"/>
      <c r="G4" s="176" t="s">
        <v>802</v>
      </c>
      <c r="H4" s="15"/>
      <c r="I4" s="15"/>
      <c r="J4" s="42"/>
      <c r="K4" s="42"/>
      <c r="O4" s="25" t="s">
        <v>803</v>
      </c>
    </row>
    <row r="5" spans="1:15" s="14" customFormat="1" ht="42" customHeight="1">
      <c r="A5" s="273" t="s">
        <v>683</v>
      </c>
      <c r="B5" s="266" t="s">
        <v>793</v>
      </c>
      <c r="C5" s="247" t="s">
        <v>694</v>
      </c>
      <c r="D5" s="279" t="s">
        <v>695</v>
      </c>
      <c r="E5" s="248" t="s">
        <v>696</v>
      </c>
      <c r="F5" s="248" t="s">
        <v>697</v>
      </c>
      <c r="G5" s="267" t="s">
        <v>698</v>
      </c>
      <c r="H5" s="247" t="s">
        <v>699</v>
      </c>
      <c r="I5" s="267" t="s">
        <v>700</v>
      </c>
      <c r="J5" s="248" t="s">
        <v>701</v>
      </c>
      <c r="K5" s="248" t="s">
        <v>702</v>
      </c>
      <c r="L5" s="248" t="s">
        <v>703</v>
      </c>
      <c r="M5" s="248" t="s">
        <v>704</v>
      </c>
      <c r="N5" s="248" t="s">
        <v>705</v>
      </c>
      <c r="O5" s="249" t="s">
        <v>706</v>
      </c>
    </row>
    <row r="6" spans="1:15" s="36" customFormat="1" ht="42" customHeight="1" thickBot="1">
      <c r="A6" s="27" t="s">
        <v>684</v>
      </c>
      <c r="B6" s="38" t="s">
        <v>685</v>
      </c>
      <c r="C6" s="12" t="s">
        <v>707</v>
      </c>
      <c r="D6" s="12" t="s">
        <v>708</v>
      </c>
      <c r="E6" s="39" t="s">
        <v>709</v>
      </c>
      <c r="F6" s="39" t="s">
        <v>710</v>
      </c>
      <c r="G6" s="39" t="s">
        <v>711</v>
      </c>
      <c r="H6" s="12" t="s">
        <v>818</v>
      </c>
      <c r="I6" s="39" t="s">
        <v>712</v>
      </c>
      <c r="J6" s="39" t="s">
        <v>713</v>
      </c>
      <c r="K6" s="39" t="s">
        <v>714</v>
      </c>
      <c r="L6" s="39" t="s">
        <v>715</v>
      </c>
      <c r="M6" s="39" t="s">
        <v>716</v>
      </c>
      <c r="N6" s="39" t="s">
        <v>721</v>
      </c>
      <c r="O6" s="40" t="s">
        <v>717</v>
      </c>
    </row>
    <row r="7" spans="1:15" s="14" customFormat="1" ht="35.25" customHeight="1">
      <c r="A7" s="37" t="s">
        <v>670</v>
      </c>
      <c r="B7" s="2">
        <v>30917307</v>
      </c>
      <c r="C7" s="3">
        <v>270337</v>
      </c>
      <c r="D7" s="3">
        <v>345173</v>
      </c>
      <c r="E7" s="3">
        <v>1945961</v>
      </c>
      <c r="F7" s="3">
        <v>660150</v>
      </c>
      <c r="G7" s="3">
        <v>12582029</v>
      </c>
      <c r="H7" s="242" t="s">
        <v>835</v>
      </c>
      <c r="I7" s="50">
        <v>529697</v>
      </c>
      <c r="J7" s="3">
        <v>700901</v>
      </c>
      <c r="K7" s="50">
        <v>202319</v>
      </c>
      <c r="L7" s="50">
        <v>1973984</v>
      </c>
      <c r="M7" s="3">
        <v>748720</v>
      </c>
      <c r="N7" s="50">
        <v>2560857</v>
      </c>
      <c r="O7" s="175">
        <v>738827</v>
      </c>
    </row>
    <row r="8" spans="1:15" s="14" customFormat="1" ht="9" customHeight="1">
      <c r="A8" s="43"/>
      <c r="B8" s="2"/>
      <c r="C8" s="3"/>
      <c r="D8" s="3"/>
      <c r="E8" s="3"/>
      <c r="F8" s="3"/>
      <c r="G8" s="3"/>
      <c r="H8" s="9"/>
      <c r="I8" s="3"/>
      <c r="J8" s="3"/>
      <c r="K8" s="3"/>
      <c r="L8" s="3"/>
      <c r="M8" s="3"/>
      <c r="N8" s="3"/>
      <c r="O8" s="4"/>
    </row>
    <row r="9" spans="1:15" s="14" customFormat="1" ht="35.25" customHeight="1">
      <c r="A9" s="37" t="s">
        <v>605</v>
      </c>
      <c r="B9" s="2">
        <v>32654772</v>
      </c>
      <c r="C9" s="3">
        <v>279819</v>
      </c>
      <c r="D9" s="3">
        <v>436382</v>
      </c>
      <c r="E9" s="3">
        <v>1772259</v>
      </c>
      <c r="F9" s="3">
        <v>721001</v>
      </c>
      <c r="G9" s="3">
        <v>14136163</v>
      </c>
      <c r="H9" s="242" t="s">
        <v>606</v>
      </c>
      <c r="I9" s="50">
        <v>733262</v>
      </c>
      <c r="J9" s="3">
        <v>929257</v>
      </c>
      <c r="K9" s="50">
        <v>194739</v>
      </c>
      <c r="L9" s="50">
        <v>1872111</v>
      </c>
      <c r="M9" s="3">
        <v>1033345</v>
      </c>
      <c r="N9" s="50">
        <v>2130934</v>
      </c>
      <c r="O9" s="175">
        <v>769131</v>
      </c>
    </row>
    <row r="10" spans="1:15" s="14" customFormat="1" ht="9" customHeight="1">
      <c r="A10" s="43"/>
      <c r="B10" s="2"/>
      <c r="C10" s="3"/>
      <c r="D10" s="3"/>
      <c r="E10" s="3"/>
      <c r="F10" s="3"/>
      <c r="G10" s="3"/>
      <c r="H10" s="9"/>
      <c r="I10" s="3"/>
      <c r="J10" s="3"/>
      <c r="K10" s="3"/>
      <c r="L10" s="3"/>
      <c r="M10" s="3"/>
      <c r="N10" s="3"/>
      <c r="O10" s="4"/>
    </row>
    <row r="11" spans="1:15" s="14" customFormat="1" ht="45" customHeight="1">
      <c r="A11" s="37" t="s">
        <v>671</v>
      </c>
      <c r="B11" s="2">
        <v>45700287</v>
      </c>
      <c r="C11" s="3">
        <v>585756</v>
      </c>
      <c r="D11" s="3">
        <v>880925</v>
      </c>
      <c r="E11" s="3">
        <v>3124383</v>
      </c>
      <c r="F11" s="3">
        <v>933007</v>
      </c>
      <c r="G11" s="3">
        <v>21044532</v>
      </c>
      <c r="H11" s="242" t="s">
        <v>606</v>
      </c>
      <c r="I11" s="50">
        <v>783484</v>
      </c>
      <c r="J11" s="3">
        <v>1400986</v>
      </c>
      <c r="K11" s="50">
        <v>305898</v>
      </c>
      <c r="L11" s="50">
        <v>1065779</v>
      </c>
      <c r="M11" s="3">
        <v>1356461</v>
      </c>
      <c r="N11" s="50">
        <v>250220</v>
      </c>
      <c r="O11" s="175">
        <v>746530</v>
      </c>
    </row>
    <row r="12" spans="1:15" s="14" customFormat="1" ht="9" customHeight="1">
      <c r="A12" s="43"/>
      <c r="B12" s="2"/>
      <c r="C12" s="3"/>
      <c r="D12" s="3"/>
      <c r="E12" s="3"/>
      <c r="F12" s="3"/>
      <c r="G12" s="3"/>
      <c r="H12" s="9"/>
      <c r="I12" s="3"/>
      <c r="J12" s="3"/>
      <c r="K12" s="3"/>
      <c r="L12" s="3"/>
      <c r="M12" s="3"/>
      <c r="N12" s="3"/>
      <c r="O12" s="4"/>
    </row>
    <row r="13" spans="1:15" s="14" customFormat="1" ht="35.25" customHeight="1">
      <c r="A13" s="37" t="s">
        <v>667</v>
      </c>
      <c r="B13" s="2">
        <v>32548705</v>
      </c>
      <c r="C13" s="3">
        <v>434267</v>
      </c>
      <c r="D13" s="3">
        <v>608668</v>
      </c>
      <c r="E13" s="3">
        <v>2056487</v>
      </c>
      <c r="F13" s="3">
        <v>603288</v>
      </c>
      <c r="G13" s="3">
        <v>14301336</v>
      </c>
      <c r="H13" s="242" t="s">
        <v>606</v>
      </c>
      <c r="I13" s="50">
        <v>410636</v>
      </c>
      <c r="J13" s="3">
        <v>601337</v>
      </c>
      <c r="K13" s="50">
        <v>227664</v>
      </c>
      <c r="L13" s="50">
        <v>1183678</v>
      </c>
      <c r="M13" s="3">
        <v>693391</v>
      </c>
      <c r="N13" s="50">
        <v>155484</v>
      </c>
      <c r="O13" s="175">
        <v>828324</v>
      </c>
    </row>
    <row r="14" spans="1:15" s="14" customFormat="1" ht="9" customHeight="1">
      <c r="A14" s="43"/>
      <c r="B14" s="2"/>
      <c r="C14" s="3"/>
      <c r="D14" s="3"/>
      <c r="E14" s="3"/>
      <c r="F14" s="3"/>
      <c r="G14" s="3"/>
      <c r="H14" s="9"/>
      <c r="I14" s="3"/>
      <c r="J14" s="3"/>
      <c r="K14" s="3"/>
      <c r="L14" s="3"/>
      <c r="M14" s="3"/>
      <c r="N14" s="3"/>
      <c r="O14" s="4"/>
    </row>
    <row r="15" spans="1:15" s="1" customFormat="1" ht="35.25" customHeight="1">
      <c r="A15" s="37" t="s">
        <v>609</v>
      </c>
      <c r="B15" s="2">
        <v>39029704</v>
      </c>
      <c r="C15" s="3">
        <f>448803863/1000</f>
        <v>448803.863</v>
      </c>
      <c r="D15" s="3">
        <f>764844944/1000</f>
        <v>764844.944</v>
      </c>
      <c r="E15" s="3">
        <f>2583875864/1000</f>
        <v>2583875.864</v>
      </c>
      <c r="F15" s="3">
        <f>806524631/1000</f>
        <v>806524.631</v>
      </c>
      <c r="G15" s="3">
        <f>17913290847/1000</f>
        <v>17913290.847</v>
      </c>
      <c r="H15" s="242" t="s">
        <v>606</v>
      </c>
      <c r="I15" s="50">
        <f>221278709/1000</f>
        <v>221278.709</v>
      </c>
      <c r="J15" s="3">
        <f>1862413040/1000</f>
        <v>1862413.04</v>
      </c>
      <c r="K15" s="50">
        <f>97927312/1000</f>
        <v>97927.312</v>
      </c>
      <c r="L15" s="50">
        <f>2406628989/1000</f>
        <v>2406628.989</v>
      </c>
      <c r="M15" s="3">
        <f>832908083/1000</f>
        <v>832908.083</v>
      </c>
      <c r="N15" s="50">
        <f>159310184/1000</f>
        <v>159310.184</v>
      </c>
      <c r="O15" s="175">
        <f>409663461/1000</f>
        <v>409663.461</v>
      </c>
    </row>
    <row r="16" spans="1:15" s="14" customFormat="1" ht="9" customHeight="1">
      <c r="A16" s="43"/>
      <c r="B16" s="2"/>
      <c r="C16" s="3"/>
      <c r="D16" s="3"/>
      <c r="E16" s="3"/>
      <c r="F16" s="3"/>
      <c r="G16" s="3"/>
      <c r="H16" s="9"/>
      <c r="I16" s="3"/>
      <c r="J16" s="3"/>
      <c r="K16" s="3"/>
      <c r="L16" s="3"/>
      <c r="M16" s="3"/>
      <c r="N16" s="3"/>
      <c r="O16" s="4"/>
    </row>
    <row r="17" spans="1:15" s="1" customFormat="1" ht="35.25" customHeight="1">
      <c r="A17" s="37" t="s">
        <v>610</v>
      </c>
      <c r="B17" s="2">
        <v>37132618.722</v>
      </c>
      <c r="C17" s="3">
        <v>446420.79</v>
      </c>
      <c r="D17" s="3">
        <v>722211.546</v>
      </c>
      <c r="E17" s="3">
        <v>2460862.346</v>
      </c>
      <c r="F17" s="3">
        <v>669620.261</v>
      </c>
      <c r="G17" s="3">
        <v>16664961.008</v>
      </c>
      <c r="H17" s="242" t="s">
        <v>851</v>
      </c>
      <c r="I17" s="50">
        <v>280621.508</v>
      </c>
      <c r="J17" s="3">
        <v>531467.344</v>
      </c>
      <c r="K17" s="50">
        <v>256252.159</v>
      </c>
      <c r="L17" s="50">
        <v>2729000.328</v>
      </c>
      <c r="M17" s="3">
        <v>851873.052</v>
      </c>
      <c r="N17" s="50">
        <v>166132.856</v>
      </c>
      <c r="O17" s="175">
        <v>315080.951</v>
      </c>
    </row>
    <row r="18" spans="1:15" s="14" customFormat="1" ht="9" customHeight="1">
      <c r="A18" s="43"/>
      <c r="B18" s="2"/>
      <c r="C18" s="3"/>
      <c r="D18" s="3"/>
      <c r="E18" s="3"/>
      <c r="F18" s="3"/>
      <c r="G18" s="3"/>
      <c r="H18" s="9"/>
      <c r="I18" s="3"/>
      <c r="J18" s="3"/>
      <c r="K18" s="3"/>
      <c r="L18" s="3"/>
      <c r="M18" s="3"/>
      <c r="N18" s="3"/>
      <c r="O18" s="4"/>
    </row>
    <row r="19" spans="1:15" s="14" customFormat="1" ht="35.25" customHeight="1">
      <c r="A19" s="37" t="s">
        <v>611</v>
      </c>
      <c r="B19" s="2">
        <v>43299569.908</v>
      </c>
      <c r="C19" s="3">
        <v>390033.429</v>
      </c>
      <c r="D19" s="3">
        <v>720103.805</v>
      </c>
      <c r="E19" s="3">
        <v>2786604.805</v>
      </c>
      <c r="F19" s="3">
        <v>508124.069</v>
      </c>
      <c r="G19" s="3">
        <v>19016305.814</v>
      </c>
      <c r="H19" s="242" t="s">
        <v>606</v>
      </c>
      <c r="I19" s="50">
        <v>454680.98</v>
      </c>
      <c r="J19" s="3">
        <v>1416998.926</v>
      </c>
      <c r="K19" s="50">
        <v>54841.052</v>
      </c>
      <c r="L19" s="50">
        <v>3817264.735</v>
      </c>
      <c r="M19" s="3">
        <v>936025.406</v>
      </c>
      <c r="N19" s="50">
        <v>162997.88</v>
      </c>
      <c r="O19" s="175">
        <v>326044.806</v>
      </c>
    </row>
    <row r="20" spans="1:15" s="14" customFormat="1" ht="9" customHeight="1">
      <c r="A20" s="43"/>
      <c r="B20" s="2"/>
      <c r="C20" s="3"/>
      <c r="D20" s="3"/>
      <c r="E20" s="3"/>
      <c r="F20" s="3"/>
      <c r="G20" s="3"/>
      <c r="H20" s="9"/>
      <c r="I20" s="3"/>
      <c r="J20" s="3"/>
      <c r="K20" s="3"/>
      <c r="L20" s="3"/>
      <c r="M20" s="3"/>
      <c r="N20" s="3"/>
      <c r="O20" s="4"/>
    </row>
    <row r="21" spans="1:15" s="14" customFormat="1" ht="35.25" customHeight="1">
      <c r="A21" s="37" t="s">
        <v>612</v>
      </c>
      <c r="B21" s="2">
        <v>43845096.682</v>
      </c>
      <c r="C21" s="3">
        <v>350814.218</v>
      </c>
      <c r="D21" s="3">
        <v>809345.893</v>
      </c>
      <c r="E21" s="3">
        <v>2604442.111</v>
      </c>
      <c r="F21" s="3">
        <v>685536.833</v>
      </c>
      <c r="G21" s="3">
        <v>18757300.119</v>
      </c>
      <c r="H21" s="242" t="s">
        <v>606</v>
      </c>
      <c r="I21" s="50">
        <v>731282.079</v>
      </c>
      <c r="J21" s="3">
        <v>1502347.569</v>
      </c>
      <c r="K21" s="50">
        <v>80592.85</v>
      </c>
      <c r="L21" s="50">
        <v>2831790.341</v>
      </c>
      <c r="M21" s="3">
        <v>948587.229</v>
      </c>
      <c r="N21" s="50">
        <v>160119.324</v>
      </c>
      <c r="O21" s="175">
        <v>247146.559</v>
      </c>
    </row>
    <row r="22" spans="1:15" s="1" customFormat="1" ht="9" customHeight="1">
      <c r="A22" s="43"/>
      <c r="B22" s="2"/>
      <c r="C22" s="3"/>
      <c r="D22" s="3"/>
      <c r="E22" s="3"/>
      <c r="F22" s="3"/>
      <c r="G22" s="3"/>
      <c r="H22" s="9"/>
      <c r="I22" s="3"/>
      <c r="J22" s="3"/>
      <c r="K22" s="3"/>
      <c r="L22" s="3"/>
      <c r="M22" s="3"/>
      <c r="N22" s="3"/>
      <c r="O22" s="4"/>
    </row>
    <row r="23" spans="1:15" s="14" customFormat="1" ht="35.25" customHeight="1">
      <c r="A23" s="37" t="s">
        <v>668</v>
      </c>
      <c r="B23" s="2">
        <v>43619335.856</v>
      </c>
      <c r="C23" s="3">
        <v>336628.099</v>
      </c>
      <c r="D23" s="3">
        <v>813217.709</v>
      </c>
      <c r="E23" s="3">
        <v>2752057.305</v>
      </c>
      <c r="F23" s="3">
        <v>532313.018</v>
      </c>
      <c r="G23" s="3">
        <v>19449888.935</v>
      </c>
      <c r="H23" s="242" t="s">
        <v>606</v>
      </c>
      <c r="I23" s="50">
        <v>537286.285</v>
      </c>
      <c r="J23" s="3">
        <v>1402067.823</v>
      </c>
      <c r="K23" s="50">
        <v>103160.402</v>
      </c>
      <c r="L23" s="50">
        <v>2004161.019</v>
      </c>
      <c r="M23" s="3">
        <v>927391.409</v>
      </c>
      <c r="N23" s="50">
        <v>154101.911</v>
      </c>
      <c r="O23" s="175">
        <v>307181.63</v>
      </c>
    </row>
    <row r="24" spans="1:15" s="1" customFormat="1" ht="9" customHeight="1">
      <c r="A24" s="43"/>
      <c r="B24" s="2"/>
      <c r="C24" s="3"/>
      <c r="D24" s="3"/>
      <c r="E24" s="3"/>
      <c r="F24" s="3"/>
      <c r="G24" s="3"/>
      <c r="H24" s="9"/>
      <c r="I24" s="3"/>
      <c r="J24" s="3"/>
      <c r="K24" s="3"/>
      <c r="L24" s="3"/>
      <c r="M24" s="3"/>
      <c r="N24" s="3"/>
      <c r="O24" s="4"/>
    </row>
    <row r="25" spans="1:15" s="14" customFormat="1" ht="35.25" customHeight="1" thickBot="1">
      <c r="A25" s="46" t="s">
        <v>614</v>
      </c>
      <c r="B25" s="7">
        <f>SUM(C25:O25)+SUM('6-4歲出預決算-按政事別分(決算)-續完'!B25:N25)</f>
        <v>42910842.002000004</v>
      </c>
      <c r="C25" s="8">
        <v>304791.345</v>
      </c>
      <c r="D25" s="8">
        <v>711595.138</v>
      </c>
      <c r="E25" s="8">
        <v>3027721.931</v>
      </c>
      <c r="F25" s="8">
        <v>471723.105</v>
      </c>
      <c r="G25" s="8">
        <v>19786450</v>
      </c>
      <c r="H25" s="244" t="s">
        <v>606</v>
      </c>
      <c r="I25" s="76">
        <v>248079</v>
      </c>
      <c r="J25" s="8">
        <v>1386415.28</v>
      </c>
      <c r="K25" s="76">
        <v>60902.078</v>
      </c>
      <c r="L25" s="76">
        <v>1643424.899</v>
      </c>
      <c r="M25" s="8">
        <v>790581.552</v>
      </c>
      <c r="N25" s="76">
        <v>146929.371</v>
      </c>
      <c r="O25" s="280">
        <v>316754.545</v>
      </c>
    </row>
    <row r="26" spans="1:8" s="14" customFormat="1" ht="13.5" customHeight="1">
      <c r="A26" s="269" t="s">
        <v>617</v>
      </c>
      <c r="H26" s="26" t="s">
        <v>669</v>
      </c>
    </row>
    <row r="27" spans="1:8" s="14" customFormat="1" ht="13.5" customHeight="1">
      <c r="A27" s="269" t="s">
        <v>619</v>
      </c>
      <c r="H27" s="26" t="s">
        <v>620</v>
      </c>
    </row>
  </sheetData>
  <mergeCells count="4">
    <mergeCell ref="H2:O2"/>
    <mergeCell ref="H3:O3"/>
    <mergeCell ref="A3:G3"/>
    <mergeCell ref="A2:G2"/>
  </mergeCells>
  <printOptions/>
  <pageMargins left="1.1811023622047245" right="1.1811023622047245" top="1.5748031496062993" bottom="1.5748031496062993" header="0.5118110236220472" footer="0.9055118110236221"/>
  <pageSetup firstPageNumber="268" useFirstPageNumber="1" horizontalDpi="600" verticalDpi="600" orientation="portrait" paperSize="9" r:id="rId3"/>
  <headerFooter alignWithMargins="0">
    <oddFooter>&amp;C&amp;"華康中圓體,標準"&amp;11‧&amp;"Times New Roman,標準"&amp;P&amp;"華康中圓體,標準"‧</oddFooter>
  </headerFooter>
  <legacyDrawing r:id="rId2"/>
</worksheet>
</file>

<file path=xl/worksheets/sheet8.xml><?xml version="1.0" encoding="utf-8"?>
<worksheet xmlns="http://schemas.openxmlformats.org/spreadsheetml/2006/main" xmlns:r="http://schemas.openxmlformats.org/officeDocument/2006/relationships">
  <sheetPr>
    <tabColor indexed="17"/>
  </sheetPr>
  <dimension ref="A1:O26"/>
  <sheetViews>
    <sheetView showGridLines="0" zoomScale="120" zoomScaleNormal="120" workbookViewId="0" topLeftCell="A1">
      <selection activeCell="A1" sqref="A1"/>
    </sheetView>
  </sheetViews>
  <sheetFormatPr defaultColWidth="9.00390625" defaultRowHeight="16.5"/>
  <cols>
    <col min="1" max="1" width="16.625" style="13" customWidth="1"/>
    <col min="2" max="4" width="9.875" style="13" customWidth="1"/>
    <col min="5" max="7" width="9.625" style="13" customWidth="1"/>
    <col min="8" max="8" width="10.125" style="13" customWidth="1"/>
    <col min="9" max="9" width="10.625" style="13" customWidth="1"/>
    <col min="10" max="10" width="9.625" style="13" customWidth="1"/>
    <col min="11" max="12" width="12.625" style="13" customWidth="1"/>
    <col min="13" max="14" width="9.625" style="13" customWidth="1"/>
    <col min="15" max="16384" width="9.00390625" style="13" customWidth="1"/>
  </cols>
  <sheetData>
    <row r="1" spans="1:14" s="14" customFormat="1" ht="19.5" customHeight="1">
      <c r="A1" s="177" t="s">
        <v>823</v>
      </c>
      <c r="B1" s="26"/>
      <c r="N1" s="49" t="s">
        <v>833</v>
      </c>
    </row>
    <row r="2" spans="1:15" s="16" customFormat="1" ht="36" customHeight="1">
      <c r="A2" s="434" t="s">
        <v>921</v>
      </c>
      <c r="B2" s="433"/>
      <c r="C2" s="433"/>
      <c r="D2" s="433"/>
      <c r="E2" s="433"/>
      <c r="F2" s="433"/>
      <c r="G2" s="433"/>
      <c r="H2" s="442" t="s">
        <v>922</v>
      </c>
      <c r="I2" s="442"/>
      <c r="J2" s="442"/>
      <c r="K2" s="442"/>
      <c r="L2" s="442"/>
      <c r="M2" s="442"/>
      <c r="N2" s="442"/>
      <c r="O2" s="44"/>
    </row>
    <row r="3" spans="1:15" s="367" customFormat="1" ht="18" customHeight="1">
      <c r="A3" s="438" t="s">
        <v>361</v>
      </c>
      <c r="B3" s="439"/>
      <c r="C3" s="439"/>
      <c r="D3" s="439"/>
      <c r="E3" s="439"/>
      <c r="F3" s="439"/>
      <c r="G3" s="439"/>
      <c r="H3" s="439" t="s">
        <v>362</v>
      </c>
      <c r="I3" s="439"/>
      <c r="J3" s="439"/>
      <c r="K3" s="439"/>
      <c r="L3" s="439"/>
      <c r="M3" s="439"/>
      <c r="N3" s="439"/>
      <c r="O3" s="369"/>
    </row>
    <row r="4" spans="1:14" s="14" customFormat="1" ht="15" customHeight="1" thickBot="1">
      <c r="A4" s="1"/>
      <c r="B4" s="15"/>
      <c r="C4" s="15"/>
      <c r="D4" s="15"/>
      <c r="E4" s="15"/>
      <c r="F4" s="15"/>
      <c r="G4" s="176" t="s">
        <v>923</v>
      </c>
      <c r="H4" s="15"/>
      <c r="I4" s="15"/>
      <c r="J4" s="42"/>
      <c r="K4" s="42"/>
      <c r="L4" s="24"/>
      <c r="M4" s="24"/>
      <c r="N4" s="25" t="s">
        <v>924</v>
      </c>
    </row>
    <row r="5" spans="1:14" s="14" customFormat="1" ht="30" customHeight="1">
      <c r="A5" s="273" t="s">
        <v>925</v>
      </c>
      <c r="B5" s="281" t="s">
        <v>926</v>
      </c>
      <c r="C5" s="248" t="s">
        <v>927</v>
      </c>
      <c r="D5" s="248" t="s">
        <v>928</v>
      </c>
      <c r="E5" s="248" t="s">
        <v>929</v>
      </c>
      <c r="F5" s="248" t="s">
        <v>930</v>
      </c>
      <c r="G5" s="248" t="s">
        <v>931</v>
      </c>
      <c r="H5" s="247" t="s">
        <v>932</v>
      </c>
      <c r="I5" s="248" t="s">
        <v>933</v>
      </c>
      <c r="J5" s="248" t="s">
        <v>934</v>
      </c>
      <c r="K5" s="248" t="s">
        <v>102</v>
      </c>
      <c r="L5" s="248" t="s">
        <v>103</v>
      </c>
      <c r="M5" s="248" t="s">
        <v>104</v>
      </c>
      <c r="N5" s="249" t="s">
        <v>105</v>
      </c>
    </row>
    <row r="6" spans="1:14" s="14" customFormat="1" ht="45" customHeight="1" thickBot="1">
      <c r="A6" s="27" t="s">
        <v>106</v>
      </c>
      <c r="B6" s="38" t="s">
        <v>107</v>
      </c>
      <c r="C6" s="39" t="s">
        <v>108</v>
      </c>
      <c r="D6" s="39" t="s">
        <v>109</v>
      </c>
      <c r="E6" s="39" t="s">
        <v>110</v>
      </c>
      <c r="F6" s="39" t="s">
        <v>111</v>
      </c>
      <c r="G6" s="39" t="s">
        <v>112</v>
      </c>
      <c r="H6" s="12" t="s">
        <v>113</v>
      </c>
      <c r="I6" s="39" t="s">
        <v>114</v>
      </c>
      <c r="J6" s="39" t="s">
        <v>115</v>
      </c>
      <c r="K6" s="39" t="s">
        <v>116</v>
      </c>
      <c r="L6" s="39" t="s">
        <v>117</v>
      </c>
      <c r="M6" s="39" t="s">
        <v>118</v>
      </c>
      <c r="N6" s="40" t="s">
        <v>119</v>
      </c>
    </row>
    <row r="7" spans="1:14" s="5" customFormat="1" ht="36" customHeight="1">
      <c r="A7" s="37" t="s">
        <v>120</v>
      </c>
      <c r="B7" s="2">
        <v>1864727</v>
      </c>
      <c r="C7" s="240" t="s">
        <v>121</v>
      </c>
      <c r="D7" s="3">
        <v>263763</v>
      </c>
      <c r="E7" s="3">
        <v>12762</v>
      </c>
      <c r="F7" s="3">
        <v>1029371</v>
      </c>
      <c r="G7" s="240" t="s">
        <v>121</v>
      </c>
      <c r="H7" s="9">
        <v>3328665</v>
      </c>
      <c r="I7" s="50">
        <v>31898</v>
      </c>
      <c r="J7" s="240" t="s">
        <v>121</v>
      </c>
      <c r="K7" s="240" t="s">
        <v>121</v>
      </c>
      <c r="L7" s="3">
        <v>1127166</v>
      </c>
      <c r="M7" s="240" t="s">
        <v>121</v>
      </c>
      <c r="N7" s="241" t="s">
        <v>121</v>
      </c>
    </row>
    <row r="8" spans="1:14" s="14" customFormat="1" ht="12" customHeight="1">
      <c r="A8" s="43"/>
      <c r="B8" s="2"/>
      <c r="C8" s="3"/>
      <c r="D8" s="3"/>
      <c r="E8" s="3"/>
      <c r="F8" s="3"/>
      <c r="G8" s="3"/>
      <c r="H8" s="9"/>
      <c r="I8" s="3"/>
      <c r="J8" s="3"/>
      <c r="K8" s="3"/>
      <c r="L8" s="3"/>
      <c r="M8" s="3"/>
      <c r="N8" s="4"/>
    </row>
    <row r="9" spans="1:14" s="5" customFormat="1" ht="36" customHeight="1">
      <c r="A9" s="37" t="s">
        <v>912</v>
      </c>
      <c r="B9" s="2">
        <v>1981707</v>
      </c>
      <c r="C9" s="240" t="s">
        <v>913</v>
      </c>
      <c r="D9" s="3">
        <v>323258</v>
      </c>
      <c r="E9" s="3">
        <v>38699</v>
      </c>
      <c r="F9" s="3">
        <v>878593</v>
      </c>
      <c r="G9" s="240" t="s">
        <v>913</v>
      </c>
      <c r="H9" s="9">
        <v>3248066</v>
      </c>
      <c r="I9" s="50">
        <v>37528</v>
      </c>
      <c r="J9" s="240" t="s">
        <v>913</v>
      </c>
      <c r="K9" s="240" t="s">
        <v>913</v>
      </c>
      <c r="L9" s="3">
        <v>1138117</v>
      </c>
      <c r="M9" s="240" t="s">
        <v>913</v>
      </c>
      <c r="N9" s="4">
        <v>401</v>
      </c>
    </row>
    <row r="10" spans="1:14" s="14" customFormat="1" ht="12" customHeight="1">
      <c r="A10" s="43"/>
      <c r="B10" s="2"/>
      <c r="C10" s="3"/>
      <c r="D10" s="3"/>
      <c r="E10" s="3"/>
      <c r="F10" s="3"/>
      <c r="G10" s="3"/>
      <c r="H10" s="9"/>
      <c r="I10" s="3"/>
      <c r="J10" s="3"/>
      <c r="K10" s="3"/>
      <c r="L10" s="3"/>
      <c r="M10" s="3"/>
      <c r="N10" s="4"/>
    </row>
    <row r="11" spans="1:14" s="5" customFormat="1" ht="45" customHeight="1">
      <c r="A11" s="37" t="s">
        <v>914</v>
      </c>
      <c r="B11" s="2">
        <v>3212553</v>
      </c>
      <c r="C11" s="240" t="s">
        <v>913</v>
      </c>
      <c r="D11" s="3">
        <v>438349</v>
      </c>
      <c r="E11" s="3">
        <v>216908</v>
      </c>
      <c r="F11" s="3">
        <v>848269</v>
      </c>
      <c r="G11" s="3">
        <v>3577178</v>
      </c>
      <c r="H11" s="9">
        <v>4889664</v>
      </c>
      <c r="I11" s="50">
        <v>39405</v>
      </c>
      <c r="J11" s="240" t="s">
        <v>913</v>
      </c>
      <c r="K11" s="240" t="s">
        <v>913</v>
      </c>
      <c r="L11" s="240" t="s">
        <v>913</v>
      </c>
      <c r="M11" s="240" t="s">
        <v>913</v>
      </c>
      <c r="N11" s="241" t="s">
        <v>913</v>
      </c>
    </row>
    <row r="12" spans="1:14" s="14" customFormat="1" ht="12" customHeight="1">
      <c r="A12" s="43"/>
      <c r="B12" s="2"/>
      <c r="C12" s="3"/>
      <c r="D12" s="3"/>
      <c r="E12" s="3"/>
      <c r="F12" s="3"/>
      <c r="G12" s="3"/>
      <c r="H12" s="9"/>
      <c r="I12" s="3"/>
      <c r="J12" s="3"/>
      <c r="K12" s="3"/>
      <c r="L12" s="3"/>
      <c r="M12" s="3"/>
      <c r="N12" s="4"/>
    </row>
    <row r="13" spans="1:14" s="5" customFormat="1" ht="36" customHeight="1">
      <c r="A13" s="37" t="s">
        <v>915</v>
      </c>
      <c r="B13" s="2">
        <v>2807816</v>
      </c>
      <c r="C13" s="240" t="s">
        <v>913</v>
      </c>
      <c r="D13" s="3">
        <v>298120</v>
      </c>
      <c r="E13" s="3">
        <v>21444</v>
      </c>
      <c r="F13" s="3">
        <v>599423</v>
      </c>
      <c r="G13" s="3">
        <v>2570199</v>
      </c>
      <c r="H13" s="9">
        <v>3906082</v>
      </c>
      <c r="I13" s="50">
        <v>238415</v>
      </c>
      <c r="J13" s="240" t="s">
        <v>913</v>
      </c>
      <c r="K13" s="240" t="s">
        <v>913</v>
      </c>
      <c r="L13" s="240" t="s">
        <v>913</v>
      </c>
      <c r="M13" s="240" t="s">
        <v>913</v>
      </c>
      <c r="N13" s="4">
        <v>2646</v>
      </c>
    </row>
    <row r="14" spans="1:14" s="14" customFormat="1" ht="12" customHeight="1">
      <c r="A14" s="43"/>
      <c r="B14" s="2"/>
      <c r="C14" s="3"/>
      <c r="D14" s="3"/>
      <c r="E14" s="3"/>
      <c r="F14" s="3"/>
      <c r="G14" s="3"/>
      <c r="H14" s="9"/>
      <c r="I14" s="3"/>
      <c r="J14" s="3"/>
      <c r="K14" s="3"/>
      <c r="L14" s="3"/>
      <c r="M14" s="3"/>
      <c r="N14" s="4"/>
    </row>
    <row r="15" spans="1:14" s="5" customFormat="1" ht="36" customHeight="1">
      <c r="A15" s="37" t="s">
        <v>916</v>
      </c>
      <c r="B15" s="2">
        <f>2122498682/1000</f>
        <v>2122498.682</v>
      </c>
      <c r="C15" s="240" t="s">
        <v>913</v>
      </c>
      <c r="D15" s="3">
        <f>398700952/1000</f>
        <v>398700.952</v>
      </c>
      <c r="E15" s="3">
        <f>19233878/1000</f>
        <v>19233.878</v>
      </c>
      <c r="F15" s="3">
        <f>1357083792/1000</f>
        <v>1357083.792</v>
      </c>
      <c r="G15" s="3">
        <f>2315739472/1000</f>
        <v>2315739.472</v>
      </c>
      <c r="H15" s="9">
        <f>3920152439/1000</f>
        <v>3920152.439</v>
      </c>
      <c r="I15" s="50">
        <f>388344679/1000</f>
        <v>388344.679</v>
      </c>
      <c r="J15" s="240" t="s">
        <v>913</v>
      </c>
      <c r="K15" s="240" t="s">
        <v>913</v>
      </c>
      <c r="L15" s="240" t="s">
        <v>913</v>
      </c>
      <c r="M15" s="240" t="s">
        <v>913</v>
      </c>
      <c r="N15" s="4">
        <f>480642/1000</f>
        <v>480.642</v>
      </c>
    </row>
    <row r="16" spans="1:14" s="14" customFormat="1" ht="12" customHeight="1">
      <c r="A16" s="43"/>
      <c r="B16" s="2"/>
      <c r="C16" s="3"/>
      <c r="D16" s="3"/>
      <c r="E16" s="3"/>
      <c r="F16" s="3"/>
      <c r="G16" s="3"/>
      <c r="H16" s="9"/>
      <c r="I16" s="3"/>
      <c r="J16" s="3"/>
      <c r="K16" s="3"/>
      <c r="L16" s="3"/>
      <c r="M16" s="3"/>
      <c r="N16" s="4"/>
    </row>
    <row r="17" spans="1:14" s="5" customFormat="1" ht="36" customHeight="1">
      <c r="A17" s="37" t="s">
        <v>917</v>
      </c>
      <c r="B17" s="2">
        <v>1858453.306</v>
      </c>
      <c r="C17" s="240" t="s">
        <v>851</v>
      </c>
      <c r="D17" s="3">
        <v>346058.772</v>
      </c>
      <c r="E17" s="3">
        <v>19257.694</v>
      </c>
      <c r="F17" s="3">
        <v>1162911.34</v>
      </c>
      <c r="G17" s="3">
        <v>2841830.502</v>
      </c>
      <c r="H17" s="9">
        <v>4155335.151</v>
      </c>
      <c r="I17" s="50">
        <v>324236.334</v>
      </c>
      <c r="J17" s="240" t="s">
        <v>851</v>
      </c>
      <c r="K17" s="240" t="s">
        <v>851</v>
      </c>
      <c r="L17" s="240" t="s">
        <v>851</v>
      </c>
      <c r="M17" s="240" t="s">
        <v>851</v>
      </c>
      <c r="N17" s="4">
        <v>330031.474</v>
      </c>
    </row>
    <row r="18" spans="1:14" s="14" customFormat="1" ht="12" customHeight="1">
      <c r="A18" s="43"/>
      <c r="B18" s="2"/>
      <c r="C18" s="3"/>
      <c r="D18" s="3"/>
      <c r="E18" s="3"/>
      <c r="F18" s="3"/>
      <c r="G18" s="3"/>
      <c r="H18" s="9"/>
      <c r="I18" s="3"/>
      <c r="J18" s="3"/>
      <c r="K18" s="3"/>
      <c r="L18" s="3"/>
      <c r="M18" s="3"/>
      <c r="N18" s="4"/>
    </row>
    <row r="19" spans="1:14" s="5" customFormat="1" ht="36" customHeight="1">
      <c r="A19" s="37" t="s">
        <v>918</v>
      </c>
      <c r="B19" s="2">
        <v>2290553.614</v>
      </c>
      <c r="C19" s="240" t="s">
        <v>913</v>
      </c>
      <c r="D19" s="3">
        <v>467343.697</v>
      </c>
      <c r="E19" s="3">
        <v>64296.704</v>
      </c>
      <c r="F19" s="3">
        <v>1507601.887</v>
      </c>
      <c r="G19" s="3">
        <v>3459877.005</v>
      </c>
      <c r="H19" s="9">
        <v>4268853.516</v>
      </c>
      <c r="I19" s="50">
        <v>290550.959</v>
      </c>
      <c r="J19" s="240" t="s">
        <v>913</v>
      </c>
      <c r="K19" s="240" t="s">
        <v>913</v>
      </c>
      <c r="L19" s="240" t="s">
        <v>913</v>
      </c>
      <c r="M19" s="240" t="s">
        <v>913</v>
      </c>
      <c r="N19" s="4">
        <v>360466.819</v>
      </c>
    </row>
    <row r="20" spans="1:14" s="71" customFormat="1" ht="12" customHeight="1">
      <c r="A20" s="43"/>
      <c r="B20" s="2"/>
      <c r="C20" s="3"/>
      <c r="D20" s="3"/>
      <c r="E20" s="3"/>
      <c r="F20" s="3"/>
      <c r="G20" s="3"/>
      <c r="H20" s="9"/>
      <c r="I20" s="3"/>
      <c r="J20" s="3"/>
      <c r="K20" s="3"/>
      <c r="L20" s="3"/>
      <c r="M20" s="3"/>
      <c r="N20" s="4"/>
    </row>
    <row r="21" spans="1:14" s="14" customFormat="1" ht="36" customHeight="1">
      <c r="A21" s="37" t="s">
        <v>919</v>
      </c>
      <c r="B21" s="2">
        <v>2707772.243</v>
      </c>
      <c r="C21" s="242" t="s">
        <v>913</v>
      </c>
      <c r="D21" s="3">
        <v>559403.094</v>
      </c>
      <c r="E21" s="3">
        <v>152646.564</v>
      </c>
      <c r="F21" s="3">
        <v>1729844.74</v>
      </c>
      <c r="G21" s="3">
        <v>3677227.229</v>
      </c>
      <c r="H21" s="9">
        <v>4573972.931</v>
      </c>
      <c r="I21" s="50">
        <v>389406</v>
      </c>
      <c r="J21" s="242" t="s">
        <v>913</v>
      </c>
      <c r="K21" s="242" t="s">
        <v>913</v>
      </c>
      <c r="L21" s="242" t="s">
        <v>913</v>
      </c>
      <c r="M21" s="242" t="s">
        <v>913</v>
      </c>
      <c r="N21" s="4">
        <v>345518.756</v>
      </c>
    </row>
    <row r="22" spans="1:14" s="72" customFormat="1" ht="12" customHeight="1">
      <c r="A22" s="43"/>
      <c r="B22" s="2"/>
      <c r="C22" s="3"/>
      <c r="D22" s="3"/>
      <c r="E22" s="3"/>
      <c r="F22" s="3"/>
      <c r="G22" s="3"/>
      <c r="H22" s="9"/>
      <c r="I22" s="3"/>
      <c r="J22" s="3"/>
      <c r="K22" s="3"/>
      <c r="L22" s="3"/>
      <c r="M22" s="3"/>
      <c r="N22" s="4"/>
    </row>
    <row r="23" spans="1:14" s="14" customFormat="1" ht="36" customHeight="1">
      <c r="A23" s="37" t="s">
        <v>613</v>
      </c>
      <c r="B23" s="2">
        <v>2293331.25</v>
      </c>
      <c r="C23" s="242" t="s">
        <v>913</v>
      </c>
      <c r="D23" s="3">
        <v>505578.607</v>
      </c>
      <c r="E23" s="3">
        <v>76650.412</v>
      </c>
      <c r="F23" s="3">
        <v>2206105.703</v>
      </c>
      <c r="G23" s="3">
        <v>3839449.043</v>
      </c>
      <c r="H23" s="9">
        <v>4634058</v>
      </c>
      <c r="I23" s="50">
        <v>400000</v>
      </c>
      <c r="J23" s="242" t="s">
        <v>913</v>
      </c>
      <c r="K23" s="242" t="s">
        <v>913</v>
      </c>
      <c r="L23" s="242" t="s">
        <v>913</v>
      </c>
      <c r="M23" s="242" t="s">
        <v>913</v>
      </c>
      <c r="N23" s="4">
        <v>344707.296</v>
      </c>
    </row>
    <row r="24" spans="1:14" s="72" customFormat="1" ht="12" customHeight="1">
      <c r="A24" s="43"/>
      <c r="B24" s="2"/>
      <c r="C24" s="3"/>
      <c r="D24" s="3"/>
      <c r="E24" s="3"/>
      <c r="F24" s="3"/>
      <c r="G24" s="3"/>
      <c r="H24" s="9"/>
      <c r="I24" s="3"/>
      <c r="J24" s="3"/>
      <c r="K24" s="3"/>
      <c r="L24" s="3"/>
      <c r="M24" s="3"/>
      <c r="N24" s="4"/>
    </row>
    <row r="25" spans="1:14" s="14" customFormat="1" ht="36" customHeight="1" thickBot="1">
      <c r="A25" s="46" t="s">
        <v>920</v>
      </c>
      <c r="B25" s="7">
        <v>2610900.832</v>
      </c>
      <c r="C25" s="244" t="s">
        <v>913</v>
      </c>
      <c r="D25" s="8">
        <v>418742.582</v>
      </c>
      <c r="E25" s="8">
        <v>7261.741</v>
      </c>
      <c r="F25" s="8">
        <v>1282092.322</v>
      </c>
      <c r="G25" s="8">
        <v>3833295.281</v>
      </c>
      <c r="H25" s="10">
        <v>4757777.014</v>
      </c>
      <c r="I25" s="76">
        <v>500000</v>
      </c>
      <c r="J25" s="244" t="s">
        <v>913</v>
      </c>
      <c r="K25" s="244" t="s">
        <v>913</v>
      </c>
      <c r="L25" s="244" t="s">
        <v>913</v>
      </c>
      <c r="M25" s="244" t="s">
        <v>913</v>
      </c>
      <c r="N25" s="28">
        <v>605403.986</v>
      </c>
    </row>
    <row r="26" spans="1:14" ht="13.5">
      <c r="A26" s="71"/>
      <c r="B26" s="70"/>
      <c r="C26" s="71"/>
      <c r="D26" s="71"/>
      <c r="E26" s="71"/>
      <c r="F26" s="71"/>
      <c r="G26" s="71"/>
      <c r="H26" s="71"/>
      <c r="I26" s="71"/>
      <c r="J26" s="71"/>
      <c r="K26" s="71"/>
      <c r="L26" s="71"/>
      <c r="M26" s="72"/>
      <c r="N26" s="72"/>
    </row>
  </sheetData>
  <mergeCells count="4">
    <mergeCell ref="H2:N2"/>
    <mergeCell ref="H3:N3"/>
    <mergeCell ref="A3:G3"/>
    <mergeCell ref="A2:G2"/>
  </mergeCells>
  <printOptions/>
  <pageMargins left="1.1811023622047245" right="1.1811023622047245" top="1.5748031496062993" bottom="1.5748031496062993" header="0.5118110236220472" footer="0.9055118110236221"/>
  <pageSetup firstPageNumber="270"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9.xml><?xml version="1.0" encoding="utf-8"?>
<worksheet xmlns="http://schemas.openxmlformats.org/spreadsheetml/2006/main" xmlns:r="http://schemas.openxmlformats.org/officeDocument/2006/relationships">
  <sheetPr>
    <tabColor indexed="17"/>
  </sheetPr>
  <dimension ref="A1:L26"/>
  <sheetViews>
    <sheetView showGridLines="0" zoomScale="120" zoomScaleNormal="120" workbookViewId="0" topLeftCell="A1">
      <selection activeCell="A1" sqref="A1"/>
    </sheetView>
  </sheetViews>
  <sheetFormatPr defaultColWidth="9.00390625" defaultRowHeight="16.5"/>
  <cols>
    <col min="1" max="1" width="16.625" style="13" customWidth="1"/>
    <col min="2" max="6" width="11.875" style="13" customWidth="1"/>
    <col min="7" max="12" width="12.625" style="13" customWidth="1"/>
    <col min="13" max="16384" width="9.00390625" style="13" customWidth="1"/>
  </cols>
  <sheetData>
    <row r="1" spans="1:12" s="14" customFormat="1" ht="19.5" customHeight="1">
      <c r="A1" s="177" t="s">
        <v>823</v>
      </c>
      <c r="B1" s="26"/>
      <c r="C1" s="26"/>
      <c r="D1" s="26"/>
      <c r="E1" s="26"/>
      <c r="F1" s="26"/>
      <c r="G1" s="26"/>
      <c r="H1" s="26"/>
      <c r="I1" s="26"/>
      <c r="L1" s="49" t="s">
        <v>833</v>
      </c>
    </row>
    <row r="2" spans="1:12" s="16" customFormat="1" ht="24.75" customHeight="1">
      <c r="A2" s="434" t="s">
        <v>132</v>
      </c>
      <c r="B2" s="433"/>
      <c r="C2" s="433"/>
      <c r="D2" s="433"/>
      <c r="E2" s="433"/>
      <c r="F2" s="433"/>
      <c r="G2" s="433" t="s">
        <v>133</v>
      </c>
      <c r="H2" s="433"/>
      <c r="I2" s="433"/>
      <c r="J2" s="433"/>
      <c r="K2" s="433"/>
      <c r="L2" s="433"/>
    </row>
    <row r="3" spans="1:12" s="14" customFormat="1" ht="18" customHeight="1" thickBot="1">
      <c r="A3" s="6"/>
      <c r="B3" s="15"/>
      <c r="C3" s="15"/>
      <c r="D3" s="15"/>
      <c r="E3" s="15"/>
      <c r="F3" s="304" t="s">
        <v>157</v>
      </c>
      <c r="G3" s="15"/>
      <c r="H3" s="15"/>
      <c r="I3" s="15"/>
      <c r="J3" s="15"/>
      <c r="K3" s="15"/>
      <c r="L3" s="31" t="s">
        <v>158</v>
      </c>
    </row>
    <row r="4" spans="1:12" s="36" customFormat="1" ht="25.5" customHeight="1">
      <c r="A4" s="414" t="s">
        <v>134</v>
      </c>
      <c r="B4" s="416" t="s">
        <v>135</v>
      </c>
      <c r="C4" s="417"/>
      <c r="D4" s="418"/>
      <c r="E4" s="419" t="s">
        <v>136</v>
      </c>
      <c r="F4" s="417"/>
      <c r="G4" s="297" t="s">
        <v>137</v>
      </c>
      <c r="H4" s="413" t="s">
        <v>138</v>
      </c>
      <c r="I4" s="413" t="s">
        <v>139</v>
      </c>
      <c r="J4" s="413" t="s">
        <v>140</v>
      </c>
      <c r="K4" s="419" t="s">
        <v>141</v>
      </c>
      <c r="L4" s="420"/>
    </row>
    <row r="5" spans="1:12" s="36" customFormat="1" ht="37.5" customHeight="1">
      <c r="A5" s="415"/>
      <c r="B5" s="421" t="s">
        <v>142</v>
      </c>
      <c r="C5" s="298" t="s">
        <v>143</v>
      </c>
      <c r="D5" s="298" t="s">
        <v>144</v>
      </c>
      <c r="E5" s="423" t="s">
        <v>145</v>
      </c>
      <c r="F5" s="299" t="s">
        <v>146</v>
      </c>
      <c r="G5" s="298" t="s">
        <v>147</v>
      </c>
      <c r="H5" s="423"/>
      <c r="I5" s="423"/>
      <c r="J5" s="423"/>
      <c r="K5" s="423" t="s">
        <v>148</v>
      </c>
      <c r="L5" s="300" t="s">
        <v>149</v>
      </c>
    </row>
    <row r="6" spans="1:12" s="36" customFormat="1" ht="37.5" customHeight="1" thickBot="1">
      <c r="A6" s="27" t="s">
        <v>824</v>
      </c>
      <c r="B6" s="422"/>
      <c r="C6" s="12" t="s">
        <v>825</v>
      </c>
      <c r="D6" s="12" t="s">
        <v>826</v>
      </c>
      <c r="E6" s="424"/>
      <c r="F6" s="39" t="s">
        <v>827</v>
      </c>
      <c r="G6" s="12" t="s">
        <v>828</v>
      </c>
      <c r="H6" s="12" t="s">
        <v>829</v>
      </c>
      <c r="I6" s="12" t="s">
        <v>830</v>
      </c>
      <c r="J6" s="12" t="s">
        <v>831</v>
      </c>
      <c r="K6" s="424"/>
      <c r="L6" s="40" t="s">
        <v>832</v>
      </c>
    </row>
    <row r="7" spans="1:12" s="77" customFormat="1" ht="34.5" customHeight="1">
      <c r="A7" s="301" t="s">
        <v>122</v>
      </c>
      <c r="B7" s="285">
        <f>D7</f>
        <v>339619.174</v>
      </c>
      <c r="C7" s="240" t="s">
        <v>822</v>
      </c>
      <c r="D7" s="286">
        <f>339619174/1000</f>
        <v>339619.174</v>
      </c>
      <c r="E7" s="286">
        <f>F7+G7</f>
        <v>3013616.1414</v>
      </c>
      <c r="F7" s="286">
        <f>500000000/1000</f>
        <v>500000</v>
      </c>
      <c r="G7" s="287">
        <f>2513616141.4/1000</f>
        <v>2513616.1414</v>
      </c>
      <c r="H7" s="290">
        <f>(31256928405-8992650841-500000000-2513616141.4)/31256928405*100</f>
        <v>61.58846183849778</v>
      </c>
      <c r="I7" s="290">
        <f>15507784028/31256928405*100</f>
        <v>49.61390904142489</v>
      </c>
      <c r="J7" s="290">
        <f>8917834545/31256928405*100</f>
        <v>28.530745022193106</v>
      </c>
      <c r="K7" s="293">
        <f>1073700000/1000</f>
        <v>1073700</v>
      </c>
      <c r="L7" s="295">
        <f>K7*1000/31256928405*100</f>
        <v>3.4350784123376825</v>
      </c>
    </row>
    <row r="8" spans="1:12" s="77" customFormat="1" ht="34.5" customHeight="1">
      <c r="A8" s="166" t="s">
        <v>123</v>
      </c>
      <c r="B8" s="285">
        <f>D8</f>
        <v>353700</v>
      </c>
      <c r="C8" s="240" t="s">
        <v>822</v>
      </c>
      <c r="D8" s="286">
        <f>353700000/1000</f>
        <v>353700</v>
      </c>
      <c r="E8" s="286">
        <f>F8+G8</f>
        <v>3376693.496</v>
      </c>
      <c r="F8" s="286">
        <f>500000000/1000</f>
        <v>500000</v>
      </c>
      <c r="G8" s="287">
        <f>2876693496/1000</f>
        <v>2876693.496</v>
      </c>
      <c r="H8" s="290">
        <f>(33008475278-8856863859-500000000-2876693496)/33008475278*100</f>
        <v>62.93813254938918</v>
      </c>
      <c r="I8" s="290">
        <f>(16661328179/33008475278)*100</f>
        <v>50.47590971311753</v>
      </c>
      <c r="J8" s="290">
        <f>(8805379109/33008475278)*100</f>
        <v>26.676115860670325</v>
      </c>
      <c r="K8" s="293">
        <f>1185880000/1000</f>
        <v>1185880</v>
      </c>
      <c r="L8" s="295">
        <f>1185880000/33008475278*100</f>
        <v>3.592653068681375</v>
      </c>
    </row>
    <row r="9" spans="1:12" s="77" customFormat="1" ht="42" customHeight="1">
      <c r="A9" s="37" t="s">
        <v>124</v>
      </c>
      <c r="B9" s="285">
        <f>C9+D9</f>
        <v>7723775.413199999</v>
      </c>
      <c r="C9" s="286">
        <f>7228775413.2/1000</f>
        <v>7228775.413199999</v>
      </c>
      <c r="D9" s="286">
        <f>495000000/1000</f>
        <v>495000</v>
      </c>
      <c r="E9" s="286">
        <f>F9+G9</f>
        <v>6003606.897</v>
      </c>
      <c r="F9" s="286">
        <f>3797000000/1000</f>
        <v>3797000</v>
      </c>
      <c r="G9" s="287">
        <f>2206606897/1000</f>
        <v>2206606.897</v>
      </c>
      <c r="H9" s="290">
        <f>(38471512785.8-6294174004)/45700288199*100</f>
        <v>70.40948766380886</v>
      </c>
      <c r="I9" s="290">
        <f>26103910010/45700288199*100</f>
        <v>57.11979297883551</v>
      </c>
      <c r="J9" s="290">
        <f>6210256104/45700288199*100</f>
        <v>13.58909614958597</v>
      </c>
      <c r="K9" s="293">
        <f>(3797000000+725000000)/1000</f>
        <v>4522000</v>
      </c>
      <c r="L9" s="295">
        <f>(3797000000+725000000)/45700288199*100</f>
        <v>9.89490477676889</v>
      </c>
    </row>
    <row r="10" spans="1:12" s="77" customFormat="1" ht="7.5" customHeight="1">
      <c r="A10" s="37"/>
      <c r="B10" s="285"/>
      <c r="C10" s="286"/>
      <c r="D10" s="286"/>
      <c r="E10" s="286"/>
      <c r="F10" s="286"/>
      <c r="G10" s="287"/>
      <c r="H10" s="290"/>
      <c r="I10" s="290"/>
      <c r="J10" s="290"/>
      <c r="K10" s="293"/>
      <c r="L10" s="295"/>
    </row>
    <row r="11" spans="1:12" s="77" customFormat="1" ht="34.5" customHeight="1">
      <c r="A11" s="166" t="s">
        <v>125</v>
      </c>
      <c r="B11" s="285">
        <f>C11+D11</f>
        <v>11302918.169</v>
      </c>
      <c r="C11" s="286">
        <f>10827918169/1000</f>
        <v>10827918.169</v>
      </c>
      <c r="D11" s="286">
        <f>475000000/1000</f>
        <v>475000</v>
      </c>
      <c r="E11" s="286">
        <f>F11+G11</f>
        <v>4820243.6844500005</v>
      </c>
      <c r="F11" s="286">
        <f>3478500000/1000</f>
        <v>3478500</v>
      </c>
      <c r="G11" s="287">
        <f>1341743684.45/1000</f>
        <v>1341743.68445</v>
      </c>
      <c r="H11" s="290">
        <f>(21720788074-5358064996)/32548706243*100</f>
        <v>50.2715006729922</v>
      </c>
      <c r="I11" s="290">
        <f>13455987203/32548706243*100</f>
        <v>41.34108158567401</v>
      </c>
      <c r="J11" s="290">
        <f>5257848527/32548706243*100</f>
        <v>16.153786536848187</v>
      </c>
      <c r="K11" s="293">
        <f>7430500000/1000</f>
        <v>7430500</v>
      </c>
      <c r="L11" s="295">
        <f>K11*1000/32548706243*100</f>
        <v>22.828864362613555</v>
      </c>
    </row>
    <row r="12" spans="1:12" s="77" customFormat="1" ht="34.5" customHeight="1">
      <c r="A12" s="166" t="s">
        <v>126</v>
      </c>
      <c r="B12" s="285">
        <f>C12+D12</f>
        <v>7240869.31431</v>
      </c>
      <c r="C12" s="286">
        <f>6740336814.31/1000</f>
        <v>6740336.81431</v>
      </c>
      <c r="D12" s="286">
        <f>500532500/1000</f>
        <v>500532.5</v>
      </c>
      <c r="E12" s="286">
        <f>F12</f>
        <v>6400000</v>
      </c>
      <c r="F12" s="286">
        <f>6400000000/1000</f>
        <v>6400000</v>
      </c>
      <c r="G12" s="242" t="s">
        <v>913</v>
      </c>
      <c r="H12" s="290">
        <f>(32289367648.69-10993714399)/39029704463*100</f>
        <v>54.56268127748236</v>
      </c>
      <c r="I12" s="290">
        <f>16426390430/39029704463*100</f>
        <v>42.08689421558944</v>
      </c>
      <c r="J12" s="290">
        <f>10869198892/39029704463*100</f>
        <v>27.848529835279578</v>
      </c>
      <c r="K12" s="293">
        <f>13329967500/1000</f>
        <v>13329967.5</v>
      </c>
      <c r="L12" s="295">
        <f>K12*1000/39029704463*100</f>
        <v>34.15339081708076</v>
      </c>
    </row>
    <row r="13" spans="1:12" s="77" customFormat="1" ht="34.5" customHeight="1">
      <c r="A13" s="166" t="s">
        <v>127</v>
      </c>
      <c r="B13" s="285">
        <f>C13</f>
        <v>2919318.901</v>
      </c>
      <c r="C13" s="286">
        <v>2919318.901</v>
      </c>
      <c r="D13" s="240" t="s">
        <v>913</v>
      </c>
      <c r="E13" s="286">
        <f>F13</f>
        <v>4670032.5</v>
      </c>
      <c r="F13" s="286">
        <f>4670032500/1000</f>
        <v>4670032.5</v>
      </c>
      <c r="G13" s="242" t="s">
        <v>913</v>
      </c>
      <c r="H13" s="290">
        <f>(34213299820.9-11456557135)/37132618722*100</f>
        <v>61.285046595481</v>
      </c>
      <c r="I13" s="290">
        <f>18378670628/37132618722*100</f>
        <v>49.49467950427954</v>
      </c>
      <c r="J13" s="290">
        <f>11379842880/37132618722*100</f>
        <v>30.646486220638604</v>
      </c>
      <c r="K13" s="293">
        <f>18000000000/1000</f>
        <v>18000000</v>
      </c>
      <c r="L13" s="295">
        <f>18000000000/37132618722*100</f>
        <v>48.474900557809356</v>
      </c>
    </row>
    <row r="14" spans="1:12" s="77" customFormat="1" ht="7.5" customHeight="1">
      <c r="A14" s="166"/>
      <c r="B14" s="285"/>
      <c r="C14" s="286"/>
      <c r="D14" s="3"/>
      <c r="E14" s="286"/>
      <c r="F14" s="286"/>
      <c r="G14" s="9"/>
      <c r="H14" s="290"/>
      <c r="I14" s="290"/>
      <c r="J14" s="290"/>
      <c r="K14" s="293"/>
      <c r="L14" s="295"/>
    </row>
    <row r="15" spans="1:12" s="77" customFormat="1" ht="34.5" customHeight="1">
      <c r="A15" s="166" t="s">
        <v>128</v>
      </c>
      <c r="B15" s="285">
        <f>C15+D15</f>
        <v>10968326.54404</v>
      </c>
      <c r="C15" s="286">
        <v>1938359.04404</v>
      </c>
      <c r="D15" s="286">
        <v>9029967.5</v>
      </c>
      <c r="E15" s="286">
        <f>F15</f>
        <v>7829967.5</v>
      </c>
      <c r="F15" s="286">
        <v>7829967.5</v>
      </c>
      <c r="G15" s="242" t="s">
        <v>913</v>
      </c>
      <c r="H15" s="290">
        <f>(41361210117.96-13601251870)/43299569162*100</f>
        <v>64.11139599126156</v>
      </c>
      <c r="I15" s="290">
        <f>22565607081/43299569162*100</f>
        <v>52.115084555630474</v>
      </c>
      <c r="J15" s="291">
        <f>13527273869/43299569162*100</f>
        <v>31.24112810081175</v>
      </c>
      <c r="K15" s="293">
        <v>16800000</v>
      </c>
      <c r="L15" s="295">
        <f>16800000000/43299569162*100</f>
        <v>38.7994622698089</v>
      </c>
    </row>
    <row r="16" spans="1:12" s="77" customFormat="1" ht="34.5" customHeight="1">
      <c r="A16" s="166" t="s">
        <v>129</v>
      </c>
      <c r="B16" s="285">
        <f>C16+D16</f>
        <v>11336502.415</v>
      </c>
      <c r="C16" s="286">
        <v>6186502.415</v>
      </c>
      <c r="D16" s="286">
        <v>5150000</v>
      </c>
      <c r="E16" s="286">
        <f>F16</f>
        <v>6000000</v>
      </c>
      <c r="F16" s="286">
        <v>6000000</v>
      </c>
      <c r="G16" s="242" t="s">
        <v>913</v>
      </c>
      <c r="H16" s="290">
        <f>(37658594267-10649740517)/43845096682*100</f>
        <v>61.60062536955954</v>
      </c>
      <c r="I16" s="290">
        <f>22912041222/43845096682*100</f>
        <v>52.256792562636136</v>
      </c>
      <c r="J16" s="291">
        <f>10552204702/43845096682*100</f>
        <v>24.06701205047647</v>
      </c>
      <c r="K16" s="293">
        <v>17650000</v>
      </c>
      <c r="L16" s="295">
        <f>17650000000/43845096682*100</f>
        <v>40.25535655220933</v>
      </c>
    </row>
    <row r="17" spans="1:12" s="77" customFormat="1" ht="34.5" customHeight="1">
      <c r="A17" s="166" t="s">
        <v>130</v>
      </c>
      <c r="B17" s="285">
        <f>C17+D17</f>
        <v>14901179.751</v>
      </c>
      <c r="C17" s="286">
        <v>7476179.751</v>
      </c>
      <c r="D17" s="286">
        <v>7425000</v>
      </c>
      <c r="E17" s="286">
        <f>F17</f>
        <v>11200000</v>
      </c>
      <c r="F17" s="286">
        <v>11200000</v>
      </c>
      <c r="G17" s="242" t="s">
        <v>913</v>
      </c>
      <c r="H17" s="290">
        <f>(36143156281-9644577793)/43619336032*100</f>
        <v>60.74961450252274</v>
      </c>
      <c r="I17" s="290">
        <f>22896567981/43619336032*100</f>
        <v>52.49178475390508</v>
      </c>
      <c r="J17" s="291">
        <f>9608975968/43619336032*100</f>
        <v>22.029166058260646</v>
      </c>
      <c r="K17" s="293">
        <v>21425000</v>
      </c>
      <c r="L17" s="295">
        <f>21425000000/43619336032*100</f>
        <v>49.11812500832704</v>
      </c>
    </row>
    <row r="18" spans="1:12" s="164" customFormat="1" ht="7.5" customHeight="1">
      <c r="A18" s="78"/>
      <c r="B18" s="285"/>
      <c r="C18" s="286"/>
      <c r="D18" s="286"/>
      <c r="E18" s="286"/>
      <c r="F18" s="286"/>
      <c r="G18" s="287"/>
      <c r="H18" s="290"/>
      <c r="I18" s="290"/>
      <c r="J18" s="290"/>
      <c r="K18" s="293"/>
      <c r="L18" s="295"/>
    </row>
    <row r="19" spans="1:12" s="77" customFormat="1" ht="34.5" customHeight="1" thickBot="1">
      <c r="A19" s="167" t="s">
        <v>131</v>
      </c>
      <c r="B19" s="288">
        <f>C19+D19</f>
        <v>13527997.246</v>
      </c>
      <c r="C19" s="289">
        <v>6052997.246</v>
      </c>
      <c r="D19" s="289">
        <v>7475000</v>
      </c>
      <c r="E19" s="289">
        <f>F19</f>
        <v>7475000</v>
      </c>
      <c r="F19" s="289">
        <v>7475000</v>
      </c>
      <c r="G19" s="244" t="s">
        <v>913</v>
      </c>
      <c r="H19" s="292">
        <f>(36894338062-10413972192)/42947335308*100</f>
        <v>61.657762187325694</v>
      </c>
      <c r="I19" s="292">
        <f>22022007152/42947335308*100</f>
        <v>51.27677187436087</v>
      </c>
      <c r="J19" s="292">
        <f>10315644010/42947335308*100</f>
        <v>24.019287660155385</v>
      </c>
      <c r="K19" s="294">
        <v>21425000</v>
      </c>
      <c r="L19" s="296">
        <f>21425000000/42947335308*100</f>
        <v>49.88668062022713</v>
      </c>
    </row>
    <row r="20" spans="1:7" s="77" customFormat="1" ht="14.25" customHeight="1">
      <c r="A20" s="302" t="s">
        <v>152</v>
      </c>
      <c r="G20" s="79" t="s">
        <v>150</v>
      </c>
    </row>
    <row r="21" spans="1:7" s="77" customFormat="1" ht="14.25" customHeight="1">
      <c r="A21" s="302" t="s">
        <v>159</v>
      </c>
      <c r="G21" s="303" t="s">
        <v>153</v>
      </c>
    </row>
    <row r="22" spans="1:7" s="77" customFormat="1" ht="14.25" customHeight="1">
      <c r="A22" s="302" t="s">
        <v>160</v>
      </c>
      <c r="G22" s="79" t="s">
        <v>151</v>
      </c>
    </row>
    <row r="23" spans="1:7" s="77" customFormat="1" ht="14.25" customHeight="1">
      <c r="A23" s="302" t="s">
        <v>161</v>
      </c>
      <c r="G23" s="303" t="s">
        <v>859</v>
      </c>
    </row>
    <row r="24" spans="1:7" s="77" customFormat="1" ht="14.25" customHeight="1">
      <c r="A24" s="77" t="s">
        <v>162</v>
      </c>
      <c r="G24" s="303" t="s">
        <v>154</v>
      </c>
    </row>
    <row r="25" spans="1:7" s="77" customFormat="1" ht="14.25" customHeight="1">
      <c r="A25" s="77" t="s">
        <v>163</v>
      </c>
      <c r="G25" s="303" t="s">
        <v>155</v>
      </c>
    </row>
    <row r="26" s="14" customFormat="1" ht="14.25" customHeight="1">
      <c r="G26" s="303" t="s">
        <v>156</v>
      </c>
    </row>
    <row r="27" s="14" customFormat="1" ht="13.5"/>
    <row r="28" s="14" customFormat="1" ht="13.5"/>
  </sheetData>
  <mergeCells count="12">
    <mergeCell ref="J4:J5"/>
    <mergeCell ref="G2:L2"/>
    <mergeCell ref="K4:L4"/>
    <mergeCell ref="K5:K6"/>
    <mergeCell ref="H4:H5"/>
    <mergeCell ref="B5:B6"/>
    <mergeCell ref="E5:E6"/>
    <mergeCell ref="I4:I5"/>
    <mergeCell ref="A2:F2"/>
    <mergeCell ref="A4:A5"/>
    <mergeCell ref="B4:D4"/>
    <mergeCell ref="E4:F4"/>
  </mergeCells>
  <printOptions/>
  <pageMargins left="1.141732283464567" right="1.141732283464567" top="1.5748031496062993" bottom="1.5748031496062993" header="0.5118110236220472" footer="0.9055118110236221"/>
  <pageSetup firstPageNumber="272" useFirstPageNumber="1" horizontalDpi="600" verticalDpi="600" orientation="portrait" paperSize="9" r:id="rId3"/>
  <headerFooter alignWithMargins="0">
    <oddFooter>&amp;C&amp;"華康中圓體,標準"&amp;11‧&amp;"Times New Roman,標準"&amp;P&amp;"華康中圓體,標準"‧</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rose</dc:creator>
  <cp:keywords/>
  <dc:description/>
  <cp:lastModifiedBy>TIGER-XP</cp:lastModifiedBy>
  <cp:lastPrinted>2008-08-13T07:21:38Z</cp:lastPrinted>
  <dcterms:created xsi:type="dcterms:W3CDTF">1999-07-17T03:52:56Z</dcterms:created>
  <dcterms:modified xsi:type="dcterms:W3CDTF">2008-08-13T07:31:26Z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-1871715559</vt:i4>
  </property>
  <property fmtid="{D5CDD505-2E9C-101B-9397-08002B2CF9AE}" pid="3" name="_EmailSubject">
    <vt:lpwstr>統計要覽-金融財稅</vt:lpwstr>
  </property>
  <property fmtid="{D5CDD505-2E9C-101B-9397-08002B2CF9AE}" pid="4" name="_AuthorEmail">
    <vt:lpwstr>rose1106@ms34.hinet.net</vt:lpwstr>
  </property>
  <property fmtid="{D5CDD505-2E9C-101B-9397-08002B2CF9AE}" pid="5" name="_AuthorEmailDisplayName">
    <vt:lpwstr>李鍾玫</vt:lpwstr>
  </property>
  <property fmtid="{D5CDD505-2E9C-101B-9397-08002B2CF9AE}" pid="6" name="_ReviewingToolsShownOnce">
    <vt:lpwstr/>
  </property>
</Properties>
</file>