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8895" windowHeight="7545" tabRatio="601" activeTab="0"/>
  </bookViews>
  <sheets>
    <sheet name="金融機構存放款餘額" sheetId="1" r:id="rId1"/>
    <sheet name="金融機構公佈" sheetId="2" r:id="rId2"/>
    <sheet name="歲入預決算-按來源別分(預算)" sheetId="3" r:id="rId3"/>
    <sheet name="歲入預決算-按來源別分(續完)決算" sheetId="4" r:id="rId4"/>
    <sheet name="歲出預決算-按政事別分(預算)" sheetId="5" r:id="rId5"/>
    <sheet name="歲出預決算-按政事別分(預算)續完" sheetId="6" r:id="rId6"/>
    <sheet name="歲出預決算-按政事別分(決算)" sheetId="7" r:id="rId7"/>
    <sheet name="歲出預決算-按政事別分(決算)-續完" sheetId="8" r:id="rId8"/>
    <sheet name="歷年財政狀況" sheetId="9" r:id="rId9"/>
    <sheet name="各項稅捐實徵數" sheetId="10" r:id="rId10"/>
    <sheet name="各項稅捐納庫數" sheetId="11" r:id="rId11"/>
    <sheet name="本縣公庫收支-收入" sheetId="12" r:id="rId12"/>
    <sheet name="本縣公庫收支-支出" sheetId="13" r:id="rId13"/>
    <sheet name="各鄉鎮公庫收支-收入" sheetId="14" r:id="rId14"/>
    <sheet name="各鄉鎮市公庫收支-支出" sheetId="15" r:id="rId15"/>
    <sheet name="各鄉鎮市歲入預決算-按來源別分-預算" sheetId="16" r:id="rId16"/>
    <sheet name="各鄉鎮市歲入預決算-按來源別分(決算)" sheetId="17" r:id="rId17"/>
    <sheet name="各鄉鎮市歲出預決算-按政事別分(預算)" sheetId="18" r:id="rId18"/>
    <sheet name="各鄉鎮市歲出預決算-按政事別分(預算)續1" sheetId="19" r:id="rId19"/>
    <sheet name="各鄉鎮市歲出預決算-按政事別分(決算)續2" sheetId="20" r:id="rId20"/>
    <sheet name="各鄉鎮市歲出預決算-按政事別分(決算)續完" sheetId="21" r:id="rId21"/>
    <sheet name="本縣歷年總預算額" sheetId="22" r:id="rId22"/>
  </sheets>
  <definedNames/>
  <calcPr fullCalcOnLoad="1"/>
</workbook>
</file>

<file path=xl/comments16.xml><?xml version="1.0" encoding="utf-8"?>
<comments xmlns="http://schemas.openxmlformats.org/spreadsheetml/2006/main">
  <authors>
    <author>175018</author>
  </authors>
  <commentList>
    <comment ref="H38" authorId="0">
      <text>
        <r>
          <rPr>
            <b/>
            <sz val="9"/>
            <rFont val="新細明體"/>
            <family val="1"/>
          </rPr>
          <t>175018:</t>
        </r>
        <r>
          <rPr>
            <sz val="9"/>
            <rFont val="新細明體"/>
            <family val="1"/>
          </rPr>
          <t xml:space="preserve">
廢棄物清理費+水污染防治費</t>
        </r>
      </text>
    </comment>
  </commentList>
</comments>
</file>

<file path=xl/comments9.xml><?xml version="1.0" encoding="utf-8"?>
<comments xmlns="http://schemas.openxmlformats.org/spreadsheetml/2006/main">
  <authors>
    <author>175018</author>
  </authors>
  <commentList>
    <comment ref="K19" authorId="0">
      <text>
        <r>
          <rPr>
            <b/>
            <sz val="9"/>
            <rFont val="新細明體"/>
            <family val="1"/>
          </rPr>
          <t>175018:</t>
        </r>
        <r>
          <rPr>
            <sz val="9"/>
            <rFont val="新細明體"/>
            <family val="1"/>
          </rPr>
          <t xml:space="preserve">
p.261債款目錄(長期部分)：未償餘額</t>
        </r>
      </text>
    </comment>
  </commentList>
</comments>
</file>

<file path=xl/sharedStrings.xml><?xml version="1.0" encoding="utf-8"?>
<sst xmlns="http://schemas.openxmlformats.org/spreadsheetml/2006/main" count="2443" uniqueCount="824">
  <si>
    <r>
      <t>6-9</t>
    </r>
    <r>
      <rPr>
        <sz val="12"/>
        <rFont val="華康粗圓體"/>
        <family val="3"/>
      </rPr>
      <t>、</t>
    </r>
    <r>
      <rPr>
        <sz val="12"/>
        <rFont val="Arial"/>
        <family val="2"/>
      </rPr>
      <t>Revenues of Township Treasuies</t>
    </r>
  </si>
  <si>
    <r>
      <t>1</t>
    </r>
    <r>
      <rPr>
        <sz val="12"/>
        <rFont val="華康粗圓體"/>
        <family val="3"/>
      </rPr>
      <t>．收　入</t>
    </r>
  </si>
  <si>
    <r>
      <t>1</t>
    </r>
    <r>
      <rPr>
        <sz val="12"/>
        <rFont val="華康粗圓體"/>
        <family val="3"/>
      </rPr>
      <t>．</t>
    </r>
    <r>
      <rPr>
        <sz val="12"/>
        <rFont val="Arial"/>
        <family val="2"/>
      </rPr>
      <t>Revent</t>
    </r>
  </si>
  <si>
    <r>
      <t>資料來源：根據本府財政局</t>
    </r>
    <r>
      <rPr>
        <sz val="8"/>
        <rFont val="Arial Narrow"/>
        <family val="2"/>
      </rPr>
      <t>2612-01-01-2</t>
    </r>
    <r>
      <rPr>
        <sz val="8"/>
        <rFont val="超研澤中黑"/>
        <family val="3"/>
      </rPr>
      <t>報表編製。</t>
    </r>
  </si>
  <si>
    <r>
      <t>Source</t>
    </r>
    <r>
      <rPr>
        <sz val="8"/>
        <rFont val="超研澤中黑"/>
        <family val="3"/>
      </rPr>
      <t>：</t>
    </r>
    <r>
      <rPr>
        <sz val="8"/>
        <rFont val="Arial Narrow"/>
        <family val="2"/>
      </rPr>
      <t>Bureau of Finance.</t>
    </r>
  </si>
  <si>
    <r>
      <t>Note</t>
    </r>
    <r>
      <rPr>
        <sz val="8"/>
        <rFont val="超研澤中黑"/>
        <family val="3"/>
      </rPr>
      <t>：</t>
    </r>
    <r>
      <rPr>
        <sz val="8"/>
        <rFont val="Arial Narrow"/>
        <family val="2"/>
      </rPr>
      <t>Since the fiscal year changed in 1999, the second half of 1999 was included in 2000.</t>
    </r>
  </si>
  <si>
    <r>
      <t>備　　註：</t>
    </r>
    <r>
      <rPr>
        <sz val="8"/>
        <rFont val="Arial Narrow"/>
        <family val="2"/>
      </rPr>
      <t>88</t>
    </r>
    <r>
      <rPr>
        <sz val="8"/>
        <rFont val="超研澤中黑"/>
        <family val="3"/>
      </rPr>
      <t>年更正會計年度，故</t>
    </r>
    <r>
      <rPr>
        <sz val="8"/>
        <rFont val="Arial Narrow"/>
        <family val="2"/>
      </rPr>
      <t>88</t>
    </r>
    <r>
      <rPr>
        <sz val="8"/>
        <rFont val="超研澤中黑"/>
        <family val="3"/>
      </rPr>
      <t>年下半年併入</t>
    </r>
    <r>
      <rPr>
        <sz val="8"/>
        <rFont val="Arial Narrow"/>
        <family val="2"/>
      </rPr>
      <t>89</t>
    </r>
    <r>
      <rPr>
        <sz val="8"/>
        <rFont val="超研澤中黑"/>
        <family val="3"/>
      </rPr>
      <t>年度。</t>
    </r>
  </si>
  <si>
    <r>
      <t>合　</t>
    </r>
    <r>
      <rPr>
        <sz val="8"/>
        <rFont val="Arial Narrow"/>
        <family val="2"/>
      </rPr>
      <t xml:space="preserve">  </t>
    </r>
    <r>
      <rPr>
        <sz val="8"/>
        <rFont val="華康粗圓體"/>
        <family val="3"/>
      </rPr>
      <t>計</t>
    </r>
  </si>
  <si>
    <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</si>
  <si>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</si>
  <si>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r>
      <t>表</t>
    </r>
    <r>
      <rPr>
        <sz val="12"/>
        <rFont val="Arial"/>
        <family val="2"/>
      </rPr>
      <t>6-9</t>
    </r>
    <r>
      <rPr>
        <sz val="12"/>
        <rFont val="華康粗圓體"/>
        <family val="3"/>
      </rPr>
      <t>、本縣各鄉鎮市公庫收支</t>
    </r>
    <r>
      <rPr>
        <sz val="12"/>
        <rFont val="Arial"/>
        <family val="2"/>
      </rPr>
      <t>(</t>
    </r>
    <r>
      <rPr>
        <sz val="12"/>
        <rFont val="華康粗圓體"/>
        <family val="3"/>
      </rPr>
      <t>續</t>
    </r>
    <r>
      <rPr>
        <sz val="12"/>
        <rFont val="Arial"/>
        <family val="2"/>
      </rPr>
      <t>)</t>
    </r>
  </si>
  <si>
    <r>
      <t>6-9</t>
    </r>
    <r>
      <rPr>
        <sz val="12"/>
        <rFont val="華康粗圓體"/>
        <family val="3"/>
      </rPr>
      <t>、</t>
    </r>
    <r>
      <rPr>
        <sz val="12"/>
        <rFont val="Arial"/>
        <family val="2"/>
      </rPr>
      <t>Revenues of Township Treasuies(Cont.)</t>
    </r>
  </si>
  <si>
    <r>
      <t>Unit</t>
    </r>
    <r>
      <rPr>
        <sz val="8"/>
        <rFont val="超研澤中黑"/>
        <family val="3"/>
      </rPr>
      <t>：</t>
    </r>
    <r>
      <rPr>
        <sz val="8"/>
        <rFont val="Arial Narrow"/>
        <family val="2"/>
      </rPr>
      <t>NT$1000</t>
    </r>
  </si>
  <si>
    <t>金融財稅</t>
  </si>
  <si>
    <t>Banking, Finance and Taxation</t>
  </si>
  <si>
    <r>
      <t>八十四年度</t>
    </r>
    <r>
      <rPr>
        <sz val="8"/>
        <rFont val="Arial Narrow"/>
        <family val="2"/>
      </rPr>
      <t xml:space="preserve"> 1995</t>
    </r>
  </si>
  <si>
    <r>
      <t>八十五年度</t>
    </r>
    <r>
      <rPr>
        <sz val="8"/>
        <rFont val="Arial Narrow"/>
        <family val="2"/>
      </rPr>
      <t xml:space="preserve"> 1996</t>
    </r>
  </si>
  <si>
    <r>
      <t>八十六年度</t>
    </r>
    <r>
      <rPr>
        <sz val="8"/>
        <rFont val="Arial Narrow"/>
        <family val="2"/>
      </rPr>
      <t xml:space="preserve"> 1997</t>
    </r>
  </si>
  <si>
    <r>
      <t>八十七年度</t>
    </r>
    <r>
      <rPr>
        <sz val="8"/>
        <rFont val="Arial Narrow"/>
        <family val="2"/>
      </rPr>
      <t xml:space="preserve"> 1998</t>
    </r>
  </si>
  <si>
    <r>
      <t>八十八年度</t>
    </r>
    <r>
      <rPr>
        <sz val="8"/>
        <rFont val="Arial Narrow"/>
        <family val="2"/>
      </rPr>
      <t xml:space="preserve"> 1999</t>
    </r>
  </si>
  <si>
    <r>
      <t>八十九年度</t>
    </r>
    <r>
      <rPr>
        <sz val="8"/>
        <rFont val="Arial Narrow"/>
        <family val="2"/>
      </rPr>
      <t xml:space="preserve"> 2000</t>
    </r>
  </si>
  <si>
    <r>
      <t>九　十年度</t>
    </r>
    <r>
      <rPr>
        <sz val="8"/>
        <rFont val="Arial Narrow"/>
        <family val="2"/>
      </rPr>
      <t xml:space="preserve"> 2001</t>
    </r>
  </si>
  <si>
    <r>
      <t>九十一年度</t>
    </r>
    <r>
      <rPr>
        <sz val="8"/>
        <rFont val="Arial Narrow"/>
        <family val="2"/>
      </rPr>
      <t xml:space="preserve"> 2002</t>
    </r>
  </si>
  <si>
    <r>
      <t>九十二年度</t>
    </r>
    <r>
      <rPr>
        <sz val="8"/>
        <rFont val="Arial Narrow"/>
        <family val="2"/>
      </rPr>
      <t xml:space="preserve"> 2003</t>
    </r>
  </si>
  <si>
    <r>
      <t>九十三年度</t>
    </r>
    <r>
      <rPr>
        <sz val="8"/>
        <rFont val="Arial Narrow"/>
        <family val="2"/>
      </rPr>
      <t xml:space="preserve"> 2004</t>
    </r>
  </si>
  <si>
    <r>
      <t>八十四年度</t>
    </r>
    <r>
      <rPr>
        <sz val="9"/>
        <rFont val="Arial Narrow"/>
        <family val="2"/>
      </rPr>
      <t xml:space="preserve"> 1995</t>
    </r>
  </si>
  <si>
    <r>
      <t>八十五年度</t>
    </r>
    <r>
      <rPr>
        <sz val="9"/>
        <rFont val="Arial Narrow"/>
        <family val="2"/>
      </rPr>
      <t xml:space="preserve"> 1996</t>
    </r>
  </si>
  <si>
    <r>
      <t>八十六年度</t>
    </r>
    <r>
      <rPr>
        <sz val="9"/>
        <rFont val="Arial Narrow"/>
        <family val="2"/>
      </rPr>
      <t xml:space="preserve"> 1997</t>
    </r>
  </si>
  <si>
    <r>
      <t>八十七年度</t>
    </r>
    <r>
      <rPr>
        <sz val="9"/>
        <rFont val="Arial Narrow"/>
        <family val="2"/>
      </rPr>
      <t xml:space="preserve"> 1998</t>
    </r>
  </si>
  <si>
    <r>
      <t>八十八年度</t>
    </r>
    <r>
      <rPr>
        <sz val="9"/>
        <rFont val="Arial Narrow"/>
        <family val="2"/>
      </rPr>
      <t xml:space="preserve"> 1999</t>
    </r>
  </si>
  <si>
    <r>
      <t>九十一年度</t>
    </r>
    <r>
      <rPr>
        <sz val="9"/>
        <rFont val="Arial Narrow"/>
        <family val="2"/>
      </rPr>
      <t xml:space="preserve"> 2002</t>
    </r>
  </si>
  <si>
    <r>
      <t>九十二年度</t>
    </r>
    <r>
      <rPr>
        <sz val="9"/>
        <rFont val="Arial Narrow"/>
        <family val="2"/>
      </rPr>
      <t xml:space="preserve"> 2003</t>
    </r>
  </si>
  <si>
    <r>
      <t>九十三年度</t>
    </r>
    <r>
      <rPr>
        <sz val="9"/>
        <rFont val="Arial Narrow"/>
        <family val="2"/>
      </rPr>
      <t xml:space="preserve"> 2004</t>
    </r>
  </si>
  <si>
    <r>
      <t>九　十年度</t>
    </r>
    <r>
      <rPr>
        <sz val="9"/>
        <rFont val="Arial Narrow"/>
        <family val="2"/>
      </rPr>
      <t xml:space="preserve"> 2001</t>
    </r>
  </si>
  <si>
    <r>
      <t>八十四年度</t>
    </r>
    <r>
      <rPr>
        <sz val="8"/>
        <rFont val="Arial Narrow"/>
        <family val="2"/>
      </rPr>
      <t xml:space="preserve"> 1995</t>
    </r>
  </si>
  <si>
    <r>
      <t>八十五年度</t>
    </r>
    <r>
      <rPr>
        <sz val="8"/>
        <rFont val="Arial Narrow"/>
        <family val="2"/>
      </rPr>
      <t xml:space="preserve"> 1996</t>
    </r>
  </si>
  <si>
    <r>
      <t>八十六年度</t>
    </r>
    <r>
      <rPr>
        <sz val="8"/>
        <rFont val="Arial Narrow"/>
        <family val="2"/>
      </rPr>
      <t xml:space="preserve"> 1997</t>
    </r>
  </si>
  <si>
    <r>
      <t>八十七年度</t>
    </r>
    <r>
      <rPr>
        <sz val="8"/>
        <rFont val="Arial Narrow"/>
        <family val="2"/>
      </rPr>
      <t xml:space="preserve"> 1998</t>
    </r>
  </si>
  <si>
    <r>
      <t>八十八年度</t>
    </r>
    <r>
      <rPr>
        <sz val="8"/>
        <rFont val="Arial Narrow"/>
        <family val="2"/>
      </rPr>
      <t xml:space="preserve"> 1999</t>
    </r>
  </si>
  <si>
    <r>
      <t>八十九年度</t>
    </r>
    <r>
      <rPr>
        <sz val="8"/>
        <rFont val="Arial Narrow"/>
        <family val="2"/>
      </rPr>
      <t xml:space="preserve"> 2000</t>
    </r>
  </si>
  <si>
    <r>
      <t>九　十年度</t>
    </r>
    <r>
      <rPr>
        <sz val="8"/>
        <rFont val="Arial Narrow"/>
        <family val="2"/>
      </rPr>
      <t xml:space="preserve"> 2001</t>
    </r>
  </si>
  <si>
    <r>
      <t>九十一年度</t>
    </r>
    <r>
      <rPr>
        <sz val="8"/>
        <rFont val="Arial Narrow"/>
        <family val="2"/>
      </rPr>
      <t xml:space="preserve"> 2002</t>
    </r>
  </si>
  <si>
    <r>
      <t>九十二年度</t>
    </r>
    <r>
      <rPr>
        <sz val="8"/>
        <rFont val="Arial Narrow"/>
        <family val="2"/>
      </rPr>
      <t xml:space="preserve"> 2003</t>
    </r>
  </si>
  <si>
    <r>
      <t>九十三年度</t>
    </r>
    <r>
      <rPr>
        <sz val="8"/>
        <rFont val="Arial Narrow"/>
        <family val="2"/>
      </rPr>
      <t xml:space="preserve"> 2004</t>
    </r>
  </si>
  <si>
    <r>
      <t>原預算</t>
    </r>
    <r>
      <rPr>
        <sz val="8"/>
        <rFont val="Arial Narrow"/>
        <family val="2"/>
      </rPr>
      <t xml:space="preserve"> Original Budgets</t>
    </r>
  </si>
  <si>
    <r>
      <t>追加減後預算</t>
    </r>
    <r>
      <rPr>
        <sz val="8"/>
        <rFont val="Arial Narrow"/>
        <family val="2"/>
      </rPr>
      <t xml:space="preserve"> Budgets after Reapportionments</t>
    </r>
  </si>
  <si>
    <t>Surplus Public Enterprises</t>
  </si>
  <si>
    <t>Contribution and Donation</t>
  </si>
  <si>
    <t>Others</t>
  </si>
  <si>
    <t>年　　度　　別</t>
  </si>
  <si>
    <t>稅課收入</t>
  </si>
  <si>
    <t>工程受益費
收　　　入</t>
  </si>
  <si>
    <r>
      <t>罰</t>
    </r>
    <r>
      <rPr>
        <sz val="9"/>
        <rFont val="Arial Narrow"/>
        <family val="2"/>
      </rPr>
      <t xml:space="preserve">  </t>
    </r>
    <r>
      <rPr>
        <sz val="9"/>
        <rFont val="華康粗圓體"/>
        <family val="3"/>
      </rPr>
      <t>款</t>
    </r>
    <r>
      <rPr>
        <sz val="9"/>
        <rFont val="Arial Narrow"/>
        <family val="2"/>
      </rPr>
      <t xml:space="preserve">  </t>
    </r>
    <r>
      <rPr>
        <sz val="9"/>
        <rFont val="華康粗圓體"/>
        <family val="3"/>
      </rPr>
      <t>及
賠償收入</t>
    </r>
  </si>
  <si>
    <t>規費收入</t>
  </si>
  <si>
    <t>污染防制費
收　　　入</t>
  </si>
  <si>
    <t>信託管理
收　　入</t>
  </si>
  <si>
    <t>財產收入</t>
  </si>
  <si>
    <r>
      <t>營業盈餘及
事</t>
    </r>
    <r>
      <rPr>
        <sz val="9"/>
        <rFont val="Arial Narrow"/>
        <family val="2"/>
      </rPr>
      <t xml:space="preserve"> </t>
    </r>
    <r>
      <rPr>
        <sz val="9"/>
        <rFont val="華康粗圓體"/>
        <family val="3"/>
      </rPr>
      <t>業</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</si>
  <si>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
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</si>
  <si>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</si>
  <si>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t>其他收入</t>
  </si>
  <si>
    <t>民國八十四年度</t>
  </si>
  <si>
    <r>
      <t>原預算</t>
    </r>
    <r>
      <rPr>
        <sz val="8"/>
        <rFont val="Arial Narrow"/>
        <family val="2"/>
      </rPr>
      <t xml:space="preserve"> Original Budgets</t>
    </r>
  </si>
  <si>
    <r>
      <t xml:space="preserve">    </t>
    </r>
    <r>
      <rPr>
        <sz val="8.5"/>
        <rFont val="華康粗圓體"/>
        <family val="3"/>
      </rPr>
      <t>八十七年度</t>
    </r>
  </si>
  <si>
    <r>
      <t xml:space="preserve">八十八年下半年及八十九年度
</t>
    </r>
    <r>
      <rPr>
        <sz val="7"/>
        <rFont val="Arial Narrow"/>
        <family val="2"/>
      </rPr>
      <t>07/01/1999~12/31/2000</t>
    </r>
  </si>
  <si>
    <r>
      <t xml:space="preserve">    </t>
    </r>
    <r>
      <rPr>
        <sz val="8.5"/>
        <rFont val="華康粗圓體"/>
        <family val="3"/>
      </rPr>
      <t>九</t>
    </r>
    <r>
      <rPr>
        <sz val="8.5"/>
        <rFont val="Arial Narrow"/>
        <family val="2"/>
      </rPr>
      <t xml:space="preserve">  </t>
    </r>
    <r>
      <rPr>
        <sz val="8.5"/>
        <rFont val="華康粗圓體"/>
        <family val="3"/>
      </rPr>
      <t>十年度</t>
    </r>
  </si>
  <si>
    <r>
      <t xml:space="preserve">    </t>
    </r>
    <r>
      <rPr>
        <sz val="8.5"/>
        <rFont val="華康粗圓體"/>
        <family val="3"/>
      </rPr>
      <t>九十三年度</t>
    </r>
  </si>
  <si>
    <r>
      <t xml:space="preserve">    </t>
    </r>
    <r>
      <rPr>
        <sz val="8.5"/>
        <rFont val="華康粗圓體"/>
        <family val="3"/>
      </rPr>
      <t>九十四年度</t>
    </r>
  </si>
  <si>
    <r>
      <t>Source</t>
    </r>
    <r>
      <rPr>
        <sz val="8.5"/>
        <rFont val="超研澤中黑"/>
        <family val="3"/>
      </rPr>
      <t>：</t>
    </r>
    <r>
      <rPr>
        <sz val="8.5"/>
        <rFont val="Arial Narrow"/>
        <family val="2"/>
      </rPr>
      <t>Budgets of all cities under Taoyuan County's jurisdiction and their reapportionments.</t>
    </r>
  </si>
  <si>
    <r>
      <t>Unit</t>
    </r>
    <r>
      <rPr>
        <sz val="9"/>
        <rFont val="超研澤中黑"/>
        <family val="3"/>
      </rPr>
      <t>：</t>
    </r>
    <r>
      <rPr>
        <sz val="9"/>
        <rFont val="Arial Narrow"/>
        <family val="2"/>
      </rPr>
      <t xml:space="preserve">N.T.$1,000 </t>
    </r>
  </si>
  <si>
    <t>總　　計</t>
  </si>
  <si>
    <t>稅課收入</t>
  </si>
  <si>
    <t>工程受益費
收　　　入</t>
  </si>
  <si>
    <r>
      <t>罰</t>
    </r>
    <r>
      <rPr>
        <sz val="9"/>
        <rFont val="Arial Narrow"/>
        <family val="2"/>
      </rPr>
      <t xml:space="preserve">  </t>
    </r>
    <r>
      <rPr>
        <sz val="9"/>
        <rFont val="華康粗圓體"/>
        <family val="3"/>
      </rPr>
      <t>款</t>
    </r>
    <r>
      <rPr>
        <sz val="9"/>
        <rFont val="Arial Narrow"/>
        <family val="2"/>
      </rPr>
      <t xml:space="preserve">  </t>
    </r>
    <r>
      <rPr>
        <sz val="9"/>
        <rFont val="華康粗圓體"/>
        <family val="3"/>
      </rPr>
      <t>及
賠償收入</t>
    </r>
  </si>
  <si>
    <t>規費收入</t>
  </si>
  <si>
    <t>污染防制費
收　　　入</t>
  </si>
  <si>
    <t>信託管理
收　　入</t>
  </si>
  <si>
    <t>財產收入</t>
  </si>
  <si>
    <r>
      <t>營業盈餘及
事</t>
    </r>
    <r>
      <rPr>
        <sz val="9"/>
        <rFont val="Arial Narrow"/>
        <family val="2"/>
      </rPr>
      <t xml:space="preserve"> </t>
    </r>
    <r>
      <rPr>
        <sz val="9"/>
        <rFont val="華康粗圓體"/>
        <family val="3"/>
      </rPr>
      <t>業</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</si>
  <si>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
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</si>
  <si>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</si>
  <si>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t>其他收入</t>
  </si>
  <si>
    <r>
      <t xml:space="preserve">  </t>
    </r>
    <r>
      <rPr>
        <sz val="9"/>
        <rFont val="華康粗圓體"/>
        <family val="3"/>
      </rPr>
      <t xml:space="preserve">八十八年下半年
及八十九年度
</t>
    </r>
    <r>
      <rPr>
        <sz val="9"/>
        <rFont val="Arial Narrow"/>
        <family val="2"/>
      </rPr>
      <t>07/01/1999~12/31/2000</t>
    </r>
  </si>
  <si>
    <r>
      <t>表</t>
    </r>
    <r>
      <rPr>
        <sz val="12"/>
        <rFont val="Arial"/>
        <family val="2"/>
      </rPr>
      <t>6-10</t>
    </r>
    <r>
      <rPr>
        <sz val="12"/>
        <rFont val="華康粗圓體"/>
        <family val="3"/>
      </rPr>
      <t>、各鄉鎮市歲入預決算－按來源別分</t>
    </r>
    <r>
      <rPr>
        <sz val="12"/>
        <rFont val="Arial"/>
        <family val="2"/>
      </rPr>
      <t>(</t>
    </r>
    <r>
      <rPr>
        <sz val="12"/>
        <rFont val="華康粗圓體"/>
        <family val="3"/>
      </rPr>
      <t>續</t>
    </r>
    <r>
      <rPr>
        <sz val="12"/>
        <rFont val="Arial"/>
        <family val="2"/>
      </rPr>
      <t>)</t>
    </r>
  </si>
  <si>
    <r>
      <t>6-10</t>
    </r>
    <r>
      <rPr>
        <sz val="12"/>
        <rFont val="華康粗圓體"/>
        <family val="3"/>
      </rPr>
      <t>、</t>
    </r>
    <r>
      <rPr>
        <sz val="12"/>
        <rFont val="Arial"/>
        <family val="2"/>
      </rPr>
      <t>Budget and Settled Account of Revenues of Township Offices(Cont.)</t>
    </r>
  </si>
  <si>
    <t xml:space="preserve">Settled </t>
  </si>
  <si>
    <r>
      <t>Source</t>
    </r>
    <r>
      <rPr>
        <sz val="9"/>
        <rFont val="超研澤中黑"/>
        <family val="3"/>
      </rPr>
      <t>：</t>
    </r>
    <r>
      <rPr>
        <sz val="9"/>
        <rFont val="Arial Narrow"/>
        <family val="2"/>
      </rPr>
      <t>Budget, Accounting &amp; Statistics office.</t>
    </r>
  </si>
  <si>
    <r>
      <t>Unit</t>
    </r>
    <r>
      <rPr>
        <sz val="9"/>
        <rFont val="超研澤中黑"/>
        <family val="3"/>
      </rPr>
      <t>：</t>
    </r>
    <r>
      <rPr>
        <sz val="9"/>
        <rFont val="Arial Narrow"/>
        <family val="2"/>
      </rPr>
      <t>NT$1,000</t>
    </r>
  </si>
  <si>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</si>
  <si>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</si>
  <si>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</si>
  <si>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</si>
  <si>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</si>
  <si>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</si>
  <si>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</si>
  <si>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</si>
  <si>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</si>
  <si>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</si>
  <si>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</si>
  <si>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</si>
  <si>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</si>
  <si>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</si>
  <si>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</si>
  <si>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</si>
  <si>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</si>
  <si>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</si>
  <si>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</si>
  <si>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</si>
  <si>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</si>
  <si>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</si>
  <si>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</si>
  <si>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</si>
  <si>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</si>
  <si>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</si>
  <si>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</si>
  <si>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民國八十四年度</t>
  </si>
  <si>
    <r>
      <t>原預算</t>
    </r>
    <r>
      <rPr>
        <sz val="8"/>
        <rFont val="Arial Narrow"/>
        <family val="2"/>
      </rPr>
      <t xml:space="preserve"> Original Budgets</t>
    </r>
  </si>
  <si>
    <t>－</t>
  </si>
  <si>
    <r>
      <t xml:space="preserve">八十八年下半年
及八十九年度
</t>
    </r>
    <r>
      <rPr>
        <sz val="7"/>
        <rFont val="Arial Narrow"/>
        <family val="2"/>
      </rPr>
      <t>07/01/1999~12/31/2000</t>
    </r>
  </si>
  <si>
    <r>
      <t>表</t>
    </r>
    <r>
      <rPr>
        <sz val="12"/>
        <rFont val="Arial"/>
        <family val="2"/>
      </rPr>
      <t>6-11</t>
    </r>
    <r>
      <rPr>
        <sz val="12"/>
        <rFont val="華康粗圓體"/>
        <family val="3"/>
      </rPr>
      <t>、各鄉鎮市歲出預決算－按政事別分</t>
    </r>
  </si>
  <si>
    <r>
      <t>6-11</t>
    </r>
    <r>
      <rPr>
        <sz val="12"/>
        <rFont val="華康粗圓體"/>
        <family val="3"/>
      </rPr>
      <t>、</t>
    </r>
    <r>
      <rPr>
        <sz val="12"/>
        <rFont val="Arial"/>
        <family val="2"/>
      </rPr>
      <t>Budget and Settled Account of Expenditures of Township Offices</t>
    </r>
  </si>
  <si>
    <t>　預　　算　</t>
  </si>
  <si>
    <t>Budget</t>
  </si>
  <si>
    <r>
      <t>資料來源：桃園縣各鄉鎮</t>
    </r>
    <r>
      <rPr>
        <sz val="9"/>
        <rFont val="Arial Narrow"/>
        <family val="2"/>
      </rPr>
      <t>(</t>
    </r>
    <r>
      <rPr>
        <sz val="9"/>
        <rFont val="超研澤中黑"/>
        <family val="3"/>
      </rPr>
      <t>市</t>
    </r>
    <r>
      <rPr>
        <sz val="9"/>
        <rFont val="Arial Narrow"/>
        <family val="2"/>
      </rPr>
      <t>)</t>
    </r>
    <r>
      <rPr>
        <sz val="9"/>
        <rFont val="超研澤中黑"/>
        <family val="3"/>
      </rPr>
      <t>總預算彙編，桃園縣各鄉鎮</t>
    </r>
    <r>
      <rPr>
        <sz val="9"/>
        <rFont val="Arial Narrow"/>
        <family val="2"/>
      </rPr>
      <t>(</t>
    </r>
    <r>
      <rPr>
        <sz val="9"/>
        <rFont val="超研澤中黑"/>
        <family val="3"/>
      </rPr>
      <t>市</t>
    </r>
    <r>
      <rPr>
        <sz val="9"/>
        <rFont val="Arial Narrow"/>
        <family val="2"/>
      </rPr>
      <t>)</t>
    </r>
    <r>
      <rPr>
        <sz val="9"/>
        <rFont val="超研澤中黑"/>
        <family val="3"/>
      </rPr>
      <t>追加減預算資料。</t>
    </r>
  </si>
  <si>
    <r>
      <t>Source</t>
    </r>
    <r>
      <rPr>
        <sz val="9.5"/>
        <rFont val="超研澤中黑"/>
        <family val="3"/>
      </rPr>
      <t>：</t>
    </r>
    <r>
      <rPr>
        <sz val="9.5"/>
        <rFont val="Arial Narrow"/>
        <family val="2"/>
      </rPr>
      <t>Budgets of all cities under Taoyuan County's jurisdiction and their reapportionments.</t>
    </r>
  </si>
  <si>
    <r>
      <t>Unit</t>
    </r>
    <r>
      <rPr>
        <sz val="8.5"/>
        <rFont val="超研澤中黑"/>
        <family val="3"/>
      </rPr>
      <t>：</t>
    </r>
    <r>
      <rPr>
        <sz val="8.5"/>
        <rFont val="Arial Narrow"/>
        <family val="2"/>
      </rPr>
      <t>NT$1,000</t>
    </r>
  </si>
  <si>
    <r>
      <t>表</t>
    </r>
    <r>
      <rPr>
        <sz val="12"/>
        <rFont val="Arial"/>
        <family val="2"/>
      </rPr>
      <t>6-11</t>
    </r>
    <r>
      <rPr>
        <sz val="12"/>
        <rFont val="華康粗圓體"/>
        <family val="3"/>
      </rPr>
      <t>、各鄉鎮市歲出預決算－按政事別分</t>
    </r>
    <r>
      <rPr>
        <sz val="12"/>
        <rFont val="Arial"/>
        <family val="2"/>
      </rPr>
      <t>(</t>
    </r>
    <r>
      <rPr>
        <sz val="12"/>
        <rFont val="華康粗圓體"/>
        <family val="3"/>
      </rPr>
      <t>續一</t>
    </r>
    <r>
      <rPr>
        <sz val="12"/>
        <rFont val="Arial"/>
        <family val="2"/>
      </rPr>
      <t>)</t>
    </r>
  </si>
  <si>
    <r>
      <t>6-11</t>
    </r>
    <r>
      <rPr>
        <sz val="12"/>
        <rFont val="華康粗圓體"/>
        <family val="3"/>
      </rPr>
      <t>、</t>
    </r>
    <r>
      <rPr>
        <sz val="12"/>
        <rFont val="Arial"/>
        <family val="2"/>
      </rPr>
      <t>Budget and Settled Account of Expenditures of Township Offices(Cont.1)</t>
    </r>
  </si>
  <si>
    <t>Expenditure for
Social Insurance</t>
  </si>
  <si>
    <r>
      <t xml:space="preserve">民國八十四年度
</t>
    </r>
    <r>
      <rPr>
        <sz val="9"/>
        <rFont val="Arial Narrow"/>
        <family val="2"/>
      </rPr>
      <t>1995</t>
    </r>
  </si>
  <si>
    <t>Settled</t>
  </si>
  <si>
    <r>
      <t>表</t>
    </r>
    <r>
      <rPr>
        <sz val="12"/>
        <rFont val="Arial"/>
        <family val="2"/>
      </rPr>
      <t>6-11</t>
    </r>
    <r>
      <rPr>
        <sz val="12"/>
        <rFont val="華康粗圓體"/>
        <family val="3"/>
      </rPr>
      <t>、各鄉鎮市歲出預決算－按政事別分</t>
    </r>
    <r>
      <rPr>
        <sz val="12"/>
        <rFont val="Arial"/>
        <family val="2"/>
      </rPr>
      <t>(</t>
    </r>
    <r>
      <rPr>
        <sz val="12"/>
        <rFont val="華康粗圓體"/>
        <family val="3"/>
      </rPr>
      <t>續二</t>
    </r>
    <r>
      <rPr>
        <sz val="12"/>
        <rFont val="Arial"/>
        <family val="2"/>
      </rPr>
      <t>)</t>
    </r>
  </si>
  <si>
    <r>
      <t>6-11</t>
    </r>
    <r>
      <rPr>
        <sz val="11.5"/>
        <rFont val="華康粗圓體"/>
        <family val="3"/>
      </rPr>
      <t>、</t>
    </r>
    <r>
      <rPr>
        <sz val="11.5"/>
        <rFont val="Arial"/>
        <family val="2"/>
      </rPr>
      <t>Budget and Settled Account of Expenditures of Township Offices(Cont.2)</t>
    </r>
  </si>
  <si>
    <r>
      <t>資料來源：桃園縣各鄉鎮</t>
    </r>
    <r>
      <rPr>
        <sz val="9"/>
        <rFont val="Arial Narrow"/>
        <family val="2"/>
      </rPr>
      <t>(</t>
    </r>
    <r>
      <rPr>
        <sz val="9"/>
        <rFont val="超研澤中黑"/>
        <family val="3"/>
      </rPr>
      <t>市</t>
    </r>
    <r>
      <rPr>
        <sz val="9"/>
        <rFont val="Arial Narrow"/>
        <family val="2"/>
      </rPr>
      <t>)</t>
    </r>
    <r>
      <rPr>
        <sz val="9"/>
        <rFont val="超研澤中黑"/>
        <family val="3"/>
      </rPr>
      <t>總決算彙編。</t>
    </r>
  </si>
  <si>
    <r>
      <t>Source</t>
    </r>
    <r>
      <rPr>
        <sz val="9"/>
        <rFont val="超研澤中黑"/>
        <family val="3"/>
      </rPr>
      <t>：</t>
    </r>
    <r>
      <rPr>
        <sz val="9"/>
        <rFont val="Arial Narrow"/>
        <family val="2"/>
      </rPr>
      <t>Budget, Accounting &amp; Statistics office.</t>
    </r>
  </si>
  <si>
    <r>
      <t>表</t>
    </r>
    <r>
      <rPr>
        <sz val="12"/>
        <rFont val="Arial"/>
        <family val="2"/>
      </rPr>
      <t>6-11</t>
    </r>
    <r>
      <rPr>
        <sz val="12"/>
        <rFont val="華康粗圓體"/>
        <family val="3"/>
      </rPr>
      <t>、各鄉鎮市歲出預決算－按政事別分</t>
    </r>
    <r>
      <rPr>
        <sz val="12"/>
        <rFont val="Arial"/>
        <family val="2"/>
      </rPr>
      <t>(</t>
    </r>
    <r>
      <rPr>
        <sz val="12"/>
        <rFont val="華康粗圓體"/>
        <family val="3"/>
      </rPr>
      <t>續完</t>
    </r>
    <r>
      <rPr>
        <sz val="12"/>
        <rFont val="Arial"/>
        <family val="2"/>
      </rPr>
      <t>)</t>
    </r>
  </si>
  <si>
    <r>
      <t>6-11</t>
    </r>
    <r>
      <rPr>
        <sz val="12"/>
        <rFont val="華康粗圓體"/>
        <family val="3"/>
      </rPr>
      <t>、</t>
    </r>
    <r>
      <rPr>
        <sz val="12"/>
        <rFont val="Arial"/>
        <family val="2"/>
      </rPr>
      <t>Budget and Settled Account of Expenditures of Township Offices(Cont.End)</t>
    </r>
  </si>
  <si>
    <t>追加減預算數</t>
  </si>
  <si>
    <t>追加減後預算數</t>
  </si>
  <si>
    <r>
      <t>原</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額</t>
    </r>
  </si>
  <si>
    <r>
      <t>年</t>
    </r>
    <r>
      <rPr>
        <sz val="9"/>
        <rFont val="Arial Narrow"/>
        <family val="2"/>
      </rPr>
      <t xml:space="preserve"> </t>
    </r>
    <r>
      <rPr>
        <sz val="9"/>
        <rFont val="華康粗圓體"/>
        <family val="3"/>
      </rPr>
      <t>度</t>
    </r>
    <r>
      <rPr>
        <sz val="9"/>
        <rFont val="Arial Narrow"/>
        <family val="2"/>
      </rPr>
      <t xml:space="preserve"> </t>
    </r>
    <r>
      <rPr>
        <sz val="9"/>
        <rFont val="華康粗圓體"/>
        <family val="3"/>
      </rP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增</t>
    </r>
    <r>
      <rPr>
        <sz val="9"/>
        <rFont val="Arial Narrow"/>
        <family val="2"/>
      </rPr>
      <t xml:space="preserve"> </t>
    </r>
    <r>
      <rPr>
        <sz val="9"/>
        <rFont val="華康粗圓體"/>
        <family val="3"/>
      </rPr>
      <t>減</t>
    </r>
    <r>
      <rPr>
        <sz val="9"/>
        <rFont val="Arial Narrow"/>
        <family val="2"/>
      </rPr>
      <t xml:space="preserve"> </t>
    </r>
    <r>
      <rPr>
        <sz val="9"/>
        <rFont val="華康粗圓體"/>
        <family val="3"/>
      </rPr>
      <t>比</t>
    </r>
    <r>
      <rPr>
        <sz val="9"/>
        <rFont val="Arial Narrow"/>
        <family val="2"/>
      </rPr>
      <t xml:space="preserve"> </t>
    </r>
    <r>
      <rPr>
        <sz val="9"/>
        <rFont val="華康粗圓體"/>
        <family val="3"/>
      </rPr>
      <t xml:space="preserve">較
</t>
    </r>
    <r>
      <rPr>
        <sz val="9"/>
        <rFont val="Arial Narrow"/>
        <family val="2"/>
      </rPr>
      <t>Budgets before/after Reapportionments</t>
    </r>
  </si>
  <si>
    <r>
      <t>會</t>
    </r>
    <r>
      <rPr>
        <sz val="9"/>
        <rFont val="Arial Narrow"/>
        <family val="2"/>
      </rPr>
      <t xml:space="preserve"> </t>
    </r>
    <r>
      <rPr>
        <sz val="9"/>
        <rFont val="華康粗圓體"/>
        <family val="3"/>
      </rPr>
      <t>計</t>
    </r>
    <r>
      <rPr>
        <sz val="9"/>
        <rFont val="Arial Narrow"/>
        <family val="2"/>
      </rPr>
      <t xml:space="preserve"> </t>
    </r>
    <r>
      <rPr>
        <sz val="9"/>
        <rFont val="華康粗圓體"/>
        <family val="3"/>
      </rP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</si>
  <si>
    <r>
      <t>增</t>
    </r>
    <r>
      <rPr>
        <sz val="9"/>
        <rFont val="Arial Narrow"/>
        <family val="2"/>
      </rPr>
      <t xml:space="preserve">  </t>
    </r>
    <r>
      <rPr>
        <sz val="9"/>
        <rFont val="華康粗圓體"/>
        <family val="3"/>
      </rPr>
      <t>減</t>
    </r>
    <r>
      <rPr>
        <sz val="9"/>
        <rFont val="Arial Narrow"/>
        <family val="2"/>
      </rPr>
      <t xml:space="preserve">  </t>
    </r>
    <r>
      <rPr>
        <sz val="9"/>
        <rFont val="華康粗圓體"/>
        <family val="3"/>
      </rPr>
      <t>額</t>
    </r>
  </si>
  <si>
    <r>
      <t xml:space="preserve">  </t>
    </r>
    <r>
      <rPr>
        <sz val="9"/>
        <rFont val="華康粗圓體"/>
        <family val="3"/>
      </rPr>
      <t xml:space="preserve">八十八年下半年
及八十九年度
</t>
    </r>
    <r>
      <rPr>
        <sz val="9"/>
        <rFont val="Arial Narrow"/>
        <family val="2"/>
      </rPr>
      <t>07/01/1999~12/31/2000</t>
    </r>
  </si>
  <si>
    <r>
      <t>九十四年度</t>
    </r>
    <r>
      <rPr>
        <sz val="9"/>
        <rFont val="Arial Narrow"/>
        <family val="2"/>
      </rPr>
      <t>2005</t>
    </r>
  </si>
  <si>
    <r>
      <t>表</t>
    </r>
    <r>
      <rPr>
        <sz val="12"/>
        <rFont val="Arial"/>
        <family val="2"/>
      </rPr>
      <t xml:space="preserve"> 6-12</t>
    </r>
    <r>
      <rPr>
        <sz val="12"/>
        <rFont val="華康粗圓體"/>
        <family val="3"/>
      </rPr>
      <t>、</t>
    </r>
    <r>
      <rPr>
        <sz val="12"/>
        <rFont val="Arial"/>
        <family val="2"/>
      </rPr>
      <t xml:space="preserve"> </t>
    </r>
    <r>
      <rPr>
        <sz val="12"/>
        <rFont val="華康粗圓體"/>
        <family val="3"/>
      </rPr>
      <t xml:space="preserve">本縣歷年總預算額
</t>
    </r>
    <r>
      <rPr>
        <sz val="12"/>
        <rFont val="Arial"/>
        <family val="2"/>
      </rPr>
      <t>6-12</t>
    </r>
    <r>
      <rPr>
        <sz val="12"/>
        <rFont val="華康粗圓體"/>
        <family val="3"/>
      </rPr>
      <t>、</t>
    </r>
    <r>
      <rPr>
        <sz val="12"/>
        <rFont val="Arial"/>
        <family val="2"/>
      </rPr>
      <t>Budgets over the Years</t>
    </r>
  </si>
  <si>
    <t>資料來源：根據本府主計室資料。</t>
  </si>
  <si>
    <t>附　　註：九十年度起會計年度改為每年一月一日至十二月三十一日止。</t>
  </si>
  <si>
    <r>
      <t>Source</t>
    </r>
    <r>
      <rPr>
        <sz val="9"/>
        <rFont val="超研澤中黑"/>
        <family val="3"/>
      </rPr>
      <t>：</t>
    </r>
    <r>
      <rPr>
        <sz val="9"/>
        <rFont val="Arial Narrow"/>
        <family val="2"/>
      </rPr>
      <t>the auditing dept. of the county.</t>
    </r>
  </si>
  <si>
    <r>
      <t>Note</t>
    </r>
    <r>
      <rPr>
        <sz val="9"/>
        <rFont val="超研澤中黑"/>
        <family val="3"/>
      </rPr>
      <t>：</t>
    </r>
    <r>
      <rPr>
        <sz val="9"/>
        <rFont val="Arial Narrow"/>
        <family val="2"/>
      </rPr>
      <t>Starting 2001, the fiscal year begins on January 1 and ends on December 31.</t>
    </r>
  </si>
  <si>
    <t>金額單位：新台幣千元</t>
  </si>
  <si>
    <r>
      <t>罰</t>
    </r>
    <r>
      <rPr>
        <sz val="9"/>
        <rFont val="Arial Narrow"/>
        <family val="2"/>
      </rPr>
      <t xml:space="preserve">  </t>
    </r>
    <r>
      <rPr>
        <sz val="9"/>
        <rFont val="華康粗圓體"/>
        <family val="3"/>
      </rPr>
      <t>款</t>
    </r>
    <r>
      <rPr>
        <sz val="9"/>
        <rFont val="Arial Narrow"/>
        <family val="2"/>
      </rPr>
      <t xml:space="preserve">  </t>
    </r>
    <r>
      <rPr>
        <sz val="9"/>
        <rFont val="華康粗圓體"/>
        <family val="3"/>
      </rPr>
      <t>及
賠償收入</t>
    </r>
  </si>
  <si>
    <r>
      <t>營業盈餘及
事</t>
    </r>
    <r>
      <rPr>
        <sz val="9"/>
        <rFont val="Arial Narrow"/>
        <family val="2"/>
      </rPr>
      <t xml:space="preserve"> </t>
    </r>
    <r>
      <rPr>
        <sz val="9"/>
        <rFont val="華康粗圓體"/>
        <family val="3"/>
      </rPr>
      <t>業</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</si>
  <si>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
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</si>
  <si>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</si>
  <si>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r>
      <t xml:space="preserve">民國八十四年度
</t>
    </r>
    <r>
      <rPr>
        <sz val="9"/>
        <rFont val="Arial Narrow"/>
        <family val="2"/>
      </rPr>
      <t>1995</t>
    </r>
  </si>
  <si>
    <r>
      <t xml:space="preserve">    </t>
    </r>
    <r>
      <rPr>
        <sz val="9"/>
        <rFont val="華康粗圓體"/>
        <family val="3"/>
      </rPr>
      <t xml:space="preserve">八十五年度
</t>
    </r>
    <r>
      <rPr>
        <sz val="9"/>
        <rFont val="Arial Narrow"/>
        <family val="2"/>
      </rPr>
      <t>1996</t>
    </r>
  </si>
  <si>
    <r>
      <t xml:space="preserve">    </t>
    </r>
    <r>
      <rPr>
        <sz val="9"/>
        <rFont val="華康粗圓體"/>
        <family val="3"/>
      </rPr>
      <t xml:space="preserve">八十六年度
</t>
    </r>
    <r>
      <rPr>
        <sz val="9"/>
        <rFont val="Arial Narrow"/>
        <family val="2"/>
      </rPr>
      <t>1997</t>
    </r>
  </si>
  <si>
    <t>－</t>
  </si>
  <si>
    <r>
      <t xml:space="preserve">    </t>
    </r>
    <r>
      <rPr>
        <sz val="9"/>
        <rFont val="華康粗圓體"/>
        <family val="3"/>
      </rPr>
      <t xml:space="preserve">八十七年度
</t>
    </r>
    <r>
      <rPr>
        <sz val="9"/>
        <rFont val="Arial Narrow"/>
        <family val="2"/>
      </rPr>
      <t>1998</t>
    </r>
  </si>
  <si>
    <r>
      <t xml:space="preserve">    </t>
    </r>
    <r>
      <rPr>
        <sz val="9"/>
        <rFont val="華康粗圓體"/>
        <family val="3"/>
      </rPr>
      <t xml:space="preserve">八十八年度
</t>
    </r>
    <r>
      <rPr>
        <sz val="9"/>
        <rFont val="Arial Narrow"/>
        <family val="2"/>
      </rPr>
      <t>1999</t>
    </r>
  </si>
  <si>
    <r>
      <t xml:space="preserve">  </t>
    </r>
    <r>
      <rPr>
        <sz val="9"/>
        <rFont val="華康粗圓體"/>
        <family val="3"/>
      </rPr>
      <t xml:space="preserve">八十八年下半年及
八十九年度
</t>
    </r>
    <r>
      <rPr>
        <sz val="9"/>
        <rFont val="Arial Narrow"/>
        <family val="2"/>
      </rPr>
      <t>07/01/1999~12/31/2000</t>
    </r>
  </si>
  <si>
    <r>
      <t xml:space="preserve">    </t>
    </r>
    <r>
      <rPr>
        <sz val="9"/>
        <rFont val="華康粗圓體"/>
        <family val="3"/>
      </rPr>
      <t>九</t>
    </r>
    <r>
      <rPr>
        <sz val="9"/>
        <rFont val="Arial Narrow"/>
        <family val="2"/>
      </rPr>
      <t xml:space="preserve">  </t>
    </r>
    <r>
      <rPr>
        <sz val="9"/>
        <rFont val="華康粗圓體"/>
        <family val="3"/>
      </rPr>
      <t xml:space="preserve">十年度
</t>
    </r>
    <r>
      <rPr>
        <sz val="9"/>
        <rFont val="Arial Narrow"/>
        <family val="2"/>
      </rPr>
      <t>2001</t>
    </r>
  </si>
  <si>
    <r>
      <t xml:space="preserve">    </t>
    </r>
    <r>
      <rPr>
        <sz val="9"/>
        <rFont val="華康粗圓體"/>
        <family val="3"/>
      </rPr>
      <t xml:space="preserve">九十一年度
</t>
    </r>
    <r>
      <rPr>
        <sz val="9"/>
        <rFont val="Arial Narrow"/>
        <family val="2"/>
      </rPr>
      <t>2002</t>
    </r>
  </si>
  <si>
    <r>
      <t xml:space="preserve">    </t>
    </r>
    <r>
      <rPr>
        <sz val="9"/>
        <rFont val="華康粗圓體"/>
        <family val="3"/>
      </rPr>
      <t xml:space="preserve">九十二年度
</t>
    </r>
    <r>
      <rPr>
        <sz val="9"/>
        <rFont val="Arial Narrow"/>
        <family val="2"/>
      </rPr>
      <t>2003</t>
    </r>
  </si>
  <si>
    <r>
      <t xml:space="preserve">    </t>
    </r>
    <r>
      <rPr>
        <sz val="9"/>
        <rFont val="華康粗圓體"/>
        <family val="3"/>
      </rPr>
      <t xml:space="preserve">九十三年度
</t>
    </r>
    <r>
      <rPr>
        <sz val="9"/>
        <rFont val="Arial Narrow"/>
        <family val="2"/>
      </rPr>
      <t>2004</t>
    </r>
  </si>
  <si>
    <t>金融財稅</t>
  </si>
  <si>
    <t>Banking, Finance and Taxation</t>
  </si>
  <si>
    <r>
      <t>表</t>
    </r>
    <r>
      <rPr>
        <sz val="12"/>
        <rFont val="Arial"/>
        <family val="2"/>
      </rPr>
      <t>6-3</t>
    </r>
    <r>
      <rPr>
        <sz val="12"/>
        <rFont val="華康粗圓體"/>
        <family val="3"/>
      </rPr>
      <t>、歲入預決算－按來源別分</t>
    </r>
    <r>
      <rPr>
        <sz val="12"/>
        <rFont val="Arial"/>
        <family val="2"/>
      </rPr>
      <t>(</t>
    </r>
    <r>
      <rPr>
        <sz val="12"/>
        <rFont val="華康粗圓體"/>
        <family val="3"/>
      </rPr>
      <t>續完</t>
    </r>
    <r>
      <rPr>
        <sz val="12"/>
        <rFont val="Arial"/>
        <family val="2"/>
      </rPr>
      <t>)</t>
    </r>
  </si>
  <si>
    <r>
      <t>6-3</t>
    </r>
    <r>
      <rPr>
        <sz val="12"/>
        <rFont val="華康粗圓體"/>
        <family val="3"/>
      </rPr>
      <t>、</t>
    </r>
    <r>
      <rPr>
        <sz val="12"/>
        <rFont val="Arial"/>
        <family val="2"/>
      </rPr>
      <t>Budget and Settled Account of Revenues by Respires (Cont. End)</t>
    </r>
  </si>
  <si>
    <r>
      <t>資料來源：桃園縣總決算審核報告</t>
    </r>
    <r>
      <rPr>
        <sz val="9"/>
        <rFont val="Arial Narrow"/>
        <family val="2"/>
      </rPr>
      <t>(</t>
    </r>
    <r>
      <rPr>
        <sz val="9"/>
        <rFont val="超研澤中黑"/>
        <family val="3"/>
      </rPr>
      <t>九十三年為桃園縣決算書</t>
    </r>
    <r>
      <rPr>
        <sz val="9"/>
        <rFont val="Arial Narrow"/>
        <family val="2"/>
      </rPr>
      <t>)</t>
    </r>
    <r>
      <rPr>
        <sz val="9"/>
        <rFont val="超研澤中黑"/>
        <family val="3"/>
      </rPr>
      <t>。</t>
    </r>
  </si>
  <si>
    <r>
      <t>Source</t>
    </r>
    <r>
      <rPr>
        <sz val="9"/>
        <rFont val="超研澤中黑"/>
        <family val="3"/>
      </rPr>
      <t>：</t>
    </r>
    <r>
      <rPr>
        <sz val="9"/>
        <rFont val="Arial Narrow"/>
        <family val="2"/>
      </rPr>
      <t>Review Report of Taoyuan County's Final Accounts (2003 shows Taoyuan County's Final Account Report)</t>
    </r>
  </si>
  <si>
    <t>單位：新臺幣千元</t>
  </si>
  <si>
    <r>
      <t>Unit</t>
    </r>
    <r>
      <rPr>
        <sz val="9"/>
        <rFont val="超研澤中黑"/>
        <family val="3"/>
      </rPr>
      <t>：</t>
    </r>
    <r>
      <rPr>
        <sz val="9"/>
        <rFont val="Arial Narrow"/>
        <family val="2"/>
      </rPr>
      <t>NT$1,000</t>
    </r>
  </si>
  <si>
    <t>Expenditure
for Social Insurance</t>
  </si>
  <si>
    <r>
      <t>原預算</t>
    </r>
    <r>
      <rPr>
        <sz val="7.5"/>
        <rFont val="Arial Narrow"/>
        <family val="2"/>
      </rPr>
      <t xml:space="preserve"> Original Budgets</t>
    </r>
  </si>
  <si>
    <r>
      <t xml:space="preserve">    </t>
    </r>
    <r>
      <rPr>
        <sz val="8.5"/>
        <rFont val="華康粗圓體"/>
        <family val="3"/>
      </rPr>
      <t>八十五年度</t>
    </r>
  </si>
  <si>
    <r>
      <t xml:space="preserve">    </t>
    </r>
    <r>
      <rPr>
        <sz val="8.5"/>
        <rFont val="華康粗圓體"/>
        <family val="3"/>
      </rPr>
      <t>八十六年度</t>
    </r>
  </si>
  <si>
    <r>
      <t xml:space="preserve">    </t>
    </r>
    <r>
      <rPr>
        <sz val="8.5"/>
        <rFont val="華康粗圓體"/>
        <family val="3"/>
      </rPr>
      <t>八十七年度</t>
    </r>
  </si>
  <si>
    <r>
      <t xml:space="preserve">    </t>
    </r>
    <r>
      <rPr>
        <sz val="8.5"/>
        <rFont val="華康粗圓體"/>
        <family val="3"/>
      </rPr>
      <t>八十八年度</t>
    </r>
  </si>
  <si>
    <r>
      <t xml:space="preserve">    </t>
    </r>
    <r>
      <rPr>
        <sz val="8.5"/>
        <rFont val="華康粗圓體"/>
        <family val="3"/>
      </rPr>
      <t>九</t>
    </r>
    <r>
      <rPr>
        <sz val="8.5"/>
        <rFont val="Arial Narrow"/>
        <family val="2"/>
      </rPr>
      <t xml:space="preserve">  </t>
    </r>
    <r>
      <rPr>
        <sz val="8.5"/>
        <rFont val="華康粗圓體"/>
        <family val="3"/>
      </rPr>
      <t>十年度</t>
    </r>
  </si>
  <si>
    <r>
      <t xml:space="preserve">    </t>
    </r>
    <r>
      <rPr>
        <sz val="8.5"/>
        <rFont val="華康粗圓體"/>
        <family val="3"/>
      </rPr>
      <t>九十一年度</t>
    </r>
  </si>
  <si>
    <r>
      <t xml:space="preserve">    </t>
    </r>
    <r>
      <rPr>
        <sz val="8.5"/>
        <rFont val="華康粗圓體"/>
        <family val="3"/>
      </rPr>
      <t>九十二年度</t>
    </r>
  </si>
  <si>
    <r>
      <t xml:space="preserve">    </t>
    </r>
    <r>
      <rPr>
        <sz val="8.5"/>
        <rFont val="華康粗圓體"/>
        <family val="3"/>
      </rPr>
      <t>九十三年度</t>
    </r>
  </si>
  <si>
    <r>
      <t xml:space="preserve">    </t>
    </r>
    <r>
      <rPr>
        <sz val="8.5"/>
        <rFont val="華康粗圓體"/>
        <family val="3"/>
      </rPr>
      <t>九十四年度</t>
    </r>
  </si>
  <si>
    <r>
      <t>表</t>
    </r>
    <r>
      <rPr>
        <sz val="12"/>
        <rFont val="Arial"/>
        <family val="2"/>
      </rPr>
      <t>6-4</t>
    </r>
    <r>
      <rPr>
        <sz val="12"/>
        <rFont val="華康粗圓體"/>
        <family val="3"/>
      </rPr>
      <t>、歲出預決算－按政事別分</t>
    </r>
  </si>
  <si>
    <r>
      <t>6-4</t>
    </r>
    <r>
      <rPr>
        <sz val="12"/>
        <rFont val="華康粗圓體"/>
        <family val="3"/>
      </rPr>
      <t>、</t>
    </r>
    <r>
      <rPr>
        <sz val="12"/>
        <rFont val="Arial"/>
        <family val="2"/>
      </rPr>
      <t>Budget and Settled Account of Expenditures by Administrative Affairs</t>
    </r>
  </si>
  <si>
    <t>　預　　算　</t>
  </si>
  <si>
    <t>Budget</t>
  </si>
  <si>
    <r>
      <t>Unit</t>
    </r>
    <r>
      <rPr>
        <sz val="8.5"/>
        <rFont val="超研澤中黑"/>
        <family val="3"/>
      </rPr>
      <t>：</t>
    </r>
    <r>
      <rPr>
        <sz val="8.5"/>
        <rFont val="Arial Narrow"/>
        <family val="2"/>
      </rPr>
      <t>NT$1,000</t>
    </r>
  </si>
  <si>
    <t>資料來源：桃園縣總預算、桃園縣總預算追加減預算案。</t>
  </si>
  <si>
    <r>
      <t>Source</t>
    </r>
    <r>
      <rPr>
        <sz val="8.5"/>
        <rFont val="超研澤中黑"/>
        <family val="3"/>
      </rPr>
      <t>：</t>
    </r>
    <r>
      <rPr>
        <sz val="8.5"/>
        <rFont val="Arial Narrow"/>
        <family val="2"/>
      </rPr>
      <t>Taoyuan County general budget and reapportionments.</t>
    </r>
  </si>
  <si>
    <t>Expenditure
for Environmental Protection</t>
  </si>
  <si>
    <t>Expenditure
for Police Service</t>
  </si>
  <si>
    <t>Expend-iture for Assistance</t>
  </si>
  <si>
    <r>
      <t>表</t>
    </r>
    <r>
      <rPr>
        <sz val="12"/>
        <rFont val="Arial"/>
        <family val="2"/>
      </rPr>
      <t>6-4</t>
    </r>
    <r>
      <rPr>
        <sz val="12"/>
        <rFont val="華康粗圓體"/>
        <family val="3"/>
      </rPr>
      <t>、歲出預決算－按政事別分</t>
    </r>
    <r>
      <rPr>
        <sz val="12"/>
        <rFont val="Arial"/>
        <family val="2"/>
      </rPr>
      <t>(</t>
    </r>
    <r>
      <rPr>
        <sz val="12"/>
        <rFont val="華康粗圓體"/>
        <family val="3"/>
      </rPr>
      <t>續二</t>
    </r>
    <r>
      <rPr>
        <sz val="12"/>
        <rFont val="Arial"/>
        <family val="2"/>
      </rPr>
      <t>)</t>
    </r>
  </si>
  <si>
    <r>
      <t>6-4</t>
    </r>
    <r>
      <rPr>
        <sz val="12"/>
        <rFont val="華康粗圓體"/>
        <family val="3"/>
      </rPr>
      <t>、</t>
    </r>
    <r>
      <rPr>
        <sz val="12"/>
        <rFont val="Arial"/>
        <family val="2"/>
      </rPr>
      <t>Budget and Settled Account of Expenditures by Administrative Affairs(Cont.2)</t>
    </r>
  </si>
  <si>
    <t>　決　　算　</t>
  </si>
  <si>
    <t>Settled</t>
  </si>
  <si>
    <r>
      <t>Source</t>
    </r>
    <r>
      <rPr>
        <sz val="9"/>
        <rFont val="超研澤中黑"/>
        <family val="3"/>
      </rPr>
      <t>：</t>
    </r>
    <r>
      <rPr>
        <sz val="9"/>
        <rFont val="Arial Narrow"/>
        <family val="2"/>
      </rPr>
      <t>Review Report of Taoyuan County's Final Accounts (2003 shows Taoyuan County's Final Account Report)</t>
    </r>
  </si>
  <si>
    <r>
      <t>Unit</t>
    </r>
    <r>
      <rPr>
        <sz val="9"/>
        <rFont val="超研澤中黑"/>
        <family val="3"/>
      </rPr>
      <t>：</t>
    </r>
    <r>
      <rPr>
        <sz val="9"/>
        <rFont val="Arial Narrow"/>
        <family val="2"/>
      </rPr>
      <t>NT$1,000</t>
    </r>
  </si>
  <si>
    <t>融　資　調　度　需　求</t>
  </si>
  <si>
    <t>　　　融　資　調　度</t>
  </si>
  <si>
    <t>財　源　　</t>
  </si>
  <si>
    <t>債務未償餘額</t>
  </si>
  <si>
    <t>Borrowing Scheduling Requirements</t>
  </si>
  <si>
    <t>歲入歲出差短</t>
  </si>
  <si>
    <t>債務還本</t>
  </si>
  <si>
    <t>Borrowing Scheduling Finance</t>
  </si>
  <si>
    <t>賒借收入</t>
  </si>
  <si>
    <t>移用以前年度
歲計賸餘</t>
  </si>
  <si>
    <t>Debt not repay remainder</t>
  </si>
  <si>
    <r>
      <t xml:space="preserve">自有財源比率
</t>
    </r>
    <r>
      <rPr>
        <sz val="9"/>
        <rFont val="Arial Narrow"/>
        <family val="2"/>
      </rPr>
      <t>(%)</t>
    </r>
  </si>
  <si>
    <r>
      <t xml:space="preserve">賦稅依存度
</t>
    </r>
    <r>
      <rPr>
        <sz val="9"/>
        <rFont val="Arial Narrow"/>
        <family val="2"/>
      </rPr>
      <t>(%)</t>
    </r>
  </si>
  <si>
    <r>
      <t xml:space="preserve">補助依存度
</t>
    </r>
    <r>
      <rPr>
        <sz val="9"/>
        <rFont val="Arial Narrow"/>
        <family val="2"/>
      </rPr>
      <t>(%)</t>
    </r>
  </si>
  <si>
    <r>
      <t xml:space="preserve">占歲出
</t>
    </r>
    <r>
      <rPr>
        <sz val="9"/>
        <rFont val="Arial Narrow"/>
        <family val="2"/>
      </rPr>
      <t>(%)</t>
    </r>
  </si>
  <si>
    <r>
      <t xml:space="preserve">八十六年度
</t>
    </r>
    <r>
      <rPr>
        <sz val="9"/>
        <rFont val="Arial Narrow"/>
        <family val="2"/>
      </rPr>
      <t>1997</t>
    </r>
  </si>
  <si>
    <r>
      <t xml:space="preserve">  </t>
    </r>
    <r>
      <rPr>
        <sz val="9"/>
        <rFont val="華康粗圓體"/>
        <family val="3"/>
      </rPr>
      <t xml:space="preserve">八十八年下半年及
八十九年度
</t>
    </r>
    <r>
      <rPr>
        <sz val="9"/>
        <rFont val="Arial Narrow"/>
        <family val="2"/>
      </rPr>
      <t>07/01/1999~12/31/2000</t>
    </r>
  </si>
  <si>
    <r>
      <t xml:space="preserve">九十年度
</t>
    </r>
    <r>
      <rPr>
        <sz val="9"/>
        <rFont val="Arial Narrow"/>
        <family val="2"/>
      </rPr>
      <t>2001</t>
    </r>
  </si>
  <si>
    <r>
      <t xml:space="preserve">九十二年度
</t>
    </r>
    <r>
      <rPr>
        <sz val="9"/>
        <rFont val="Arial Narrow"/>
        <family val="2"/>
      </rPr>
      <t>2003</t>
    </r>
  </si>
  <si>
    <r>
      <t>表</t>
    </r>
    <r>
      <rPr>
        <sz val="12"/>
        <rFont val="Arial"/>
        <family val="2"/>
      </rPr>
      <t>6-5</t>
    </r>
    <r>
      <rPr>
        <sz val="12"/>
        <rFont val="華康粗圓體"/>
        <family val="3"/>
      </rPr>
      <t>、歷年財政狀況</t>
    </r>
  </si>
  <si>
    <r>
      <t>6-5</t>
    </r>
    <r>
      <rPr>
        <sz val="12"/>
        <rFont val="華康粗圓體"/>
        <family val="3"/>
      </rPr>
      <t>、</t>
    </r>
    <r>
      <rPr>
        <sz val="12"/>
        <rFont val="Arial"/>
        <family val="2"/>
      </rPr>
      <t>Collection of Finance</t>
    </r>
  </si>
  <si>
    <t>單位：千元；％</t>
  </si>
  <si>
    <r>
      <t>Unit</t>
    </r>
    <r>
      <rPr>
        <sz val="9"/>
        <rFont val="超研澤中黑"/>
        <family val="3"/>
      </rPr>
      <t>：</t>
    </r>
    <r>
      <rPr>
        <sz val="9"/>
        <rFont val="Arial Narrow"/>
        <family val="2"/>
      </rPr>
      <t>NT$1000</t>
    </r>
    <r>
      <rPr>
        <sz val="9"/>
        <rFont val="超研澤中黑"/>
        <family val="3"/>
      </rPr>
      <t>；</t>
    </r>
    <r>
      <rPr>
        <sz val="9"/>
        <rFont val="Arial Narrow"/>
        <family val="2"/>
      </rPr>
      <t>%</t>
    </r>
  </si>
  <si>
    <r>
      <t>備註：</t>
    </r>
    <r>
      <rPr>
        <sz val="8.5"/>
        <rFont val="Arial Narrow"/>
        <family val="2"/>
      </rPr>
      <t>1.</t>
    </r>
    <r>
      <rPr>
        <sz val="8.5"/>
        <rFont val="超研澤中黑"/>
        <family val="3"/>
      </rPr>
      <t>九十一年度新增表</t>
    </r>
  </si>
  <si>
    <r>
      <t>　　　</t>
    </r>
    <r>
      <rPr>
        <sz val="8.5"/>
        <rFont val="Arial Narrow"/>
        <family val="2"/>
      </rPr>
      <t>2.</t>
    </r>
    <r>
      <rPr>
        <sz val="8.5"/>
        <rFont val="超研澤中黑"/>
        <family val="3"/>
      </rPr>
      <t>八十八下半年及八十九年度起，歲入不含公債及賒借收入、移用以前年度賸餘；歲出不含債務還本。</t>
    </r>
  </si>
  <si>
    <r>
      <t>　　　</t>
    </r>
    <r>
      <rPr>
        <sz val="8.5"/>
        <rFont val="Arial Narrow"/>
        <family val="2"/>
      </rPr>
      <t>3.</t>
    </r>
    <r>
      <rPr>
        <sz val="8.5"/>
        <rFont val="超研澤中黑"/>
        <family val="3"/>
      </rPr>
      <t>除九十三年度尚未審定外，各年度均採審定後決算數</t>
    </r>
  </si>
  <si>
    <r>
      <t>　　　</t>
    </r>
    <r>
      <rPr>
        <sz val="8.5"/>
        <rFont val="Arial Narrow"/>
        <family val="2"/>
      </rPr>
      <t>4.</t>
    </r>
    <r>
      <rPr>
        <sz val="8.5"/>
        <rFont val="超研澤中黑"/>
        <family val="3"/>
      </rPr>
      <t>定義說明：自有財源比率</t>
    </r>
    <r>
      <rPr>
        <sz val="8.5"/>
        <rFont val="Arial Narrow"/>
        <family val="2"/>
      </rPr>
      <t>=</t>
    </r>
    <r>
      <rPr>
        <sz val="8.5"/>
        <rFont val="超研澤中黑"/>
        <family val="3"/>
      </rPr>
      <t>實質收入</t>
    </r>
    <r>
      <rPr>
        <sz val="8.5"/>
        <rFont val="Arial Narrow"/>
        <family val="2"/>
      </rPr>
      <t>/</t>
    </r>
    <r>
      <rPr>
        <sz val="8.5"/>
        <rFont val="超研澤中黑"/>
        <family val="3"/>
      </rPr>
      <t>歲出</t>
    </r>
    <r>
      <rPr>
        <sz val="8.5"/>
        <rFont val="Arial Narrow"/>
        <family val="2"/>
      </rPr>
      <t>*100</t>
    </r>
  </si>
  <si>
    <r>
      <t>　　　</t>
    </r>
    <r>
      <rPr>
        <sz val="8.5"/>
        <rFont val="Arial Narrow"/>
        <family val="2"/>
      </rPr>
      <t xml:space="preserve">   </t>
    </r>
    <r>
      <rPr>
        <sz val="8.5"/>
        <rFont val="超研澤中黑"/>
        <family val="3"/>
      </rPr>
      <t>賦稅依存度</t>
    </r>
    <r>
      <rPr>
        <sz val="8.5"/>
        <rFont val="Arial Narrow"/>
        <family val="2"/>
      </rPr>
      <t>=</t>
    </r>
    <r>
      <rPr>
        <sz val="8.5"/>
        <rFont val="超研澤中黑"/>
        <family val="3"/>
      </rPr>
      <t>稅課收入</t>
    </r>
    <r>
      <rPr>
        <sz val="8.5"/>
        <rFont val="Arial Narrow"/>
        <family val="2"/>
      </rPr>
      <t>/</t>
    </r>
    <r>
      <rPr>
        <sz val="8.5"/>
        <rFont val="超研澤中黑"/>
        <family val="3"/>
      </rPr>
      <t>歲出</t>
    </r>
    <r>
      <rPr>
        <sz val="8.5"/>
        <rFont val="Arial Narrow"/>
        <family val="2"/>
      </rPr>
      <t>*100</t>
    </r>
  </si>
  <si>
    <r>
      <t>　　　</t>
    </r>
    <r>
      <rPr>
        <sz val="8.5"/>
        <rFont val="Arial Narrow"/>
        <family val="2"/>
      </rPr>
      <t xml:space="preserve">   </t>
    </r>
    <r>
      <rPr>
        <sz val="8.5"/>
        <rFont val="超研澤中黑"/>
        <family val="3"/>
      </rPr>
      <t>補助依存度</t>
    </r>
    <r>
      <rPr>
        <sz val="8.5"/>
        <rFont val="Arial Narrow"/>
        <family val="2"/>
      </rPr>
      <t>=</t>
    </r>
    <r>
      <rPr>
        <sz val="8.5"/>
        <rFont val="超研澤中黑"/>
        <family val="3"/>
      </rPr>
      <t>補助收入</t>
    </r>
    <r>
      <rPr>
        <sz val="8.5"/>
        <rFont val="Arial Narrow"/>
        <family val="2"/>
      </rPr>
      <t>/</t>
    </r>
    <r>
      <rPr>
        <sz val="8.5"/>
        <rFont val="超研澤中黑"/>
        <family val="3"/>
      </rPr>
      <t>歲出</t>
    </r>
    <r>
      <rPr>
        <sz val="8.5"/>
        <rFont val="Arial Narrow"/>
        <family val="2"/>
      </rPr>
      <t>*100</t>
    </r>
  </si>
  <si>
    <r>
      <t>　　　</t>
    </r>
    <r>
      <rPr>
        <sz val="8.5"/>
        <rFont val="Arial Narrow"/>
        <family val="2"/>
      </rPr>
      <t xml:space="preserve"> 2. Starting second half of 1999, revenues do not include bond, purchases on credit and funds carried forward from </t>
    </r>
  </si>
  <si>
    <r>
      <t>　　　　</t>
    </r>
    <r>
      <rPr>
        <sz val="8.5"/>
        <rFont val="Arial Narrow"/>
        <family val="2"/>
      </rPr>
      <t xml:space="preserve"> previous years while expenditures do not include repayments of debts.</t>
    </r>
  </si>
  <si>
    <r>
      <t>　　　</t>
    </r>
    <r>
      <rPr>
        <sz val="8.5"/>
        <rFont val="Arial Narrow"/>
        <family val="2"/>
      </rPr>
      <t xml:space="preserve"> 3. Besides 2003, final accounts were approved before being finalized.</t>
    </r>
  </si>
  <si>
    <r>
      <t>　　　</t>
    </r>
    <r>
      <rPr>
        <sz val="8.5"/>
        <rFont val="Arial Narrow"/>
        <family val="2"/>
      </rPr>
      <t xml:space="preserve"> 4. Definitions: Form have finance = actual revenue/expenditure*100</t>
    </r>
  </si>
  <si>
    <r>
      <t>　　　　</t>
    </r>
    <r>
      <rPr>
        <sz val="8.5"/>
        <rFont val="Arial Narrow"/>
        <family val="2"/>
      </rPr>
      <t xml:space="preserve"> Taxex adhere degree = taxation revenue/expenditure*100</t>
    </r>
  </si>
  <si>
    <r>
      <t>　　　　</t>
    </r>
    <r>
      <rPr>
        <sz val="8.5"/>
        <rFont val="Arial Narrow"/>
        <family val="2"/>
      </rPr>
      <t xml:space="preserve"> Complement adhere degree = subsidy revenue/expenditure*100</t>
    </r>
  </si>
  <si>
    <r>
      <t>Notes</t>
    </r>
    <r>
      <rPr>
        <sz val="8.5"/>
        <rFont val="超研澤中黑"/>
        <family val="3"/>
      </rPr>
      <t>：</t>
    </r>
    <r>
      <rPr>
        <sz val="8.5"/>
        <rFont val="Arial Narrow"/>
        <family val="2"/>
      </rPr>
      <t>1. This is a new table added in 2002.</t>
    </r>
  </si>
  <si>
    <t>總　計</t>
  </si>
  <si>
    <r>
      <t>九十年度</t>
    </r>
    <r>
      <rPr>
        <sz val="9"/>
        <rFont val="Arial Narrow"/>
        <family val="2"/>
      </rPr>
      <t>2001</t>
    </r>
  </si>
  <si>
    <r>
      <t>九十二年度</t>
    </r>
    <r>
      <rPr>
        <sz val="9"/>
        <rFont val="Arial Narrow"/>
        <family val="2"/>
      </rPr>
      <t>2003</t>
    </r>
  </si>
  <si>
    <r>
      <t>九十三年度</t>
    </r>
    <r>
      <rPr>
        <sz val="9"/>
        <rFont val="Arial Narrow"/>
        <family val="2"/>
      </rPr>
      <t>2004</t>
    </r>
  </si>
  <si>
    <t>總　計</t>
  </si>
  <si>
    <t>國稅</t>
  </si>
  <si>
    <t>National Taxes</t>
  </si>
  <si>
    <t>省稅</t>
  </si>
  <si>
    <t>Provincial   Taxes</t>
  </si>
  <si>
    <t>縣　　　　　　　　　　　　　　　　　　　　稅</t>
  </si>
  <si>
    <t>Municipal    Taxes</t>
  </si>
  <si>
    <t>罰鍰</t>
  </si>
  <si>
    <t>合計</t>
  </si>
  <si>
    <t>營利事業
所得稅</t>
  </si>
  <si>
    <t>綜　合
所得稅</t>
  </si>
  <si>
    <t>遺產及
贈與稅</t>
  </si>
  <si>
    <t>貨物稅</t>
  </si>
  <si>
    <t>菸酒稅</t>
  </si>
  <si>
    <t>證　券
交易稅</t>
  </si>
  <si>
    <t>期　貨
交易稅</t>
  </si>
  <si>
    <t>營業稅</t>
  </si>
  <si>
    <t>印花稅</t>
  </si>
  <si>
    <t>使　用
牌照稅</t>
  </si>
  <si>
    <t>田賦</t>
  </si>
  <si>
    <t>地價稅</t>
  </si>
  <si>
    <t>土　地
增值稅</t>
  </si>
  <si>
    <t>房屋稅</t>
  </si>
  <si>
    <t>娛樂稅</t>
  </si>
  <si>
    <t>契稅</t>
  </si>
  <si>
    <t>教育捐</t>
  </si>
  <si>
    <t>Business Income Tax</t>
  </si>
  <si>
    <t>Individual Income Tax</t>
  </si>
  <si>
    <t>Estate Gift Tax</t>
  </si>
  <si>
    <t>Commodity Tax</t>
  </si>
  <si>
    <t>Tobacco And Alcohol Tax</t>
  </si>
  <si>
    <t>Securities Transactions Tax</t>
  </si>
  <si>
    <t>Futures Transactions Tax</t>
  </si>
  <si>
    <t>Business</t>
  </si>
  <si>
    <t>Stamp Tax</t>
  </si>
  <si>
    <t>License Tax</t>
  </si>
  <si>
    <t>Land Tax</t>
  </si>
  <si>
    <t>Land Value Tax</t>
  </si>
  <si>
    <t>Land Value
Increment Tax</t>
  </si>
  <si>
    <t>House Tax</t>
  </si>
  <si>
    <t>Amusement  Tax</t>
  </si>
  <si>
    <t>Deeds Tax</t>
  </si>
  <si>
    <t>Education Expenditure</t>
  </si>
  <si>
    <t>Fines</t>
  </si>
  <si>
    <t>－</t>
  </si>
  <si>
    <r>
      <t xml:space="preserve">年　度　別
</t>
    </r>
    <r>
      <rPr>
        <sz val="9"/>
        <rFont val="Arial Narrow"/>
        <family val="2"/>
      </rPr>
      <t>Fiscal Year</t>
    </r>
  </si>
  <si>
    <r>
      <t>八十四年度</t>
    </r>
    <r>
      <rPr>
        <sz val="9"/>
        <rFont val="Arial Narrow"/>
        <family val="2"/>
      </rPr>
      <t>1995</t>
    </r>
  </si>
  <si>
    <r>
      <t>表</t>
    </r>
    <r>
      <rPr>
        <sz val="12"/>
        <rFont val="Arial"/>
        <family val="2"/>
      </rPr>
      <t>6-6</t>
    </r>
    <r>
      <rPr>
        <sz val="12"/>
        <rFont val="華康粗圓體"/>
        <family val="3"/>
      </rPr>
      <t>、各項稅捐實徵數</t>
    </r>
  </si>
  <si>
    <r>
      <t>6-6</t>
    </r>
    <r>
      <rPr>
        <sz val="12"/>
        <rFont val="華康粗圓體"/>
        <family val="3"/>
      </rPr>
      <t>、</t>
    </r>
    <r>
      <rPr>
        <sz val="12"/>
        <rFont val="Arial"/>
        <family val="2"/>
      </rPr>
      <t>The Actual Collection of Local Taxes</t>
    </r>
  </si>
  <si>
    <r>
      <t>表</t>
    </r>
    <r>
      <rPr>
        <sz val="12"/>
        <rFont val="Arial"/>
        <family val="2"/>
      </rPr>
      <t>6-6</t>
    </r>
    <r>
      <rPr>
        <sz val="12"/>
        <rFont val="華康粗圓體"/>
        <family val="3"/>
      </rPr>
      <t>、各項稅捐實徵數</t>
    </r>
    <r>
      <rPr>
        <sz val="12"/>
        <rFont val="Arial"/>
        <family val="2"/>
      </rPr>
      <t>(</t>
    </r>
    <r>
      <rPr>
        <sz val="12"/>
        <rFont val="華康粗圓體"/>
        <family val="3"/>
      </rPr>
      <t>續</t>
    </r>
    <r>
      <rPr>
        <sz val="12"/>
        <rFont val="Arial"/>
        <family val="2"/>
      </rPr>
      <t>)</t>
    </r>
  </si>
  <si>
    <r>
      <t>6-6</t>
    </r>
    <r>
      <rPr>
        <sz val="12"/>
        <rFont val="華康粗圓體"/>
        <family val="3"/>
      </rPr>
      <t>、</t>
    </r>
    <r>
      <rPr>
        <sz val="12"/>
        <rFont val="Arial"/>
        <family val="2"/>
      </rPr>
      <t>The Actual Collection of Local Taxes(Cont.)</t>
    </r>
  </si>
  <si>
    <t>單位：新台幣千元</t>
  </si>
  <si>
    <t>資料來源：桃園縣稅捐統計要覽</t>
  </si>
  <si>
    <r>
      <t>Source</t>
    </r>
    <r>
      <rPr>
        <sz val="8.5"/>
        <rFont val="超研澤中黑"/>
        <family val="3"/>
      </rPr>
      <t>：</t>
    </r>
    <r>
      <rPr>
        <sz val="8.5"/>
        <rFont val="Arial Narrow"/>
        <family val="2"/>
      </rPr>
      <t>Revenue Service</t>
    </r>
  </si>
  <si>
    <r>
      <t>說　　明：</t>
    </r>
    <r>
      <rPr>
        <sz val="9"/>
        <rFont val="Arial Narrow"/>
        <family val="2"/>
      </rPr>
      <t>1.</t>
    </r>
    <r>
      <rPr>
        <sz val="9"/>
        <rFont val="超研澤中黑"/>
        <family val="3"/>
      </rPr>
      <t>八十八年七月起營業稅由省稅改為國稅；印花稅、使用牌照稅由省稅改為縣市稅；</t>
    </r>
  </si>
  <si>
    <r>
      <t>Description</t>
    </r>
    <r>
      <rPr>
        <sz val="8.5"/>
        <rFont val="超研澤中黑"/>
        <family val="3"/>
      </rPr>
      <t>：</t>
    </r>
    <r>
      <rPr>
        <sz val="8.5"/>
        <rFont val="Arial Narrow"/>
        <family val="2"/>
      </rPr>
      <t>1. Starting July 1999, business tax was re-categorized as national tax while stamp tax and license tax re-categorized as</t>
    </r>
  </si>
  <si>
    <r>
      <t>　　　　　</t>
    </r>
    <r>
      <rPr>
        <sz val="9"/>
        <rFont val="Arial Narrow"/>
        <family val="2"/>
      </rPr>
      <t xml:space="preserve">  </t>
    </r>
    <r>
      <rPr>
        <sz val="9"/>
        <rFont val="超研澤中黑"/>
        <family val="3"/>
      </rPr>
      <t>教育捐停徵，表內數為以前年度補繳。</t>
    </r>
  </si>
  <si>
    <r>
      <t>　　　　　</t>
    </r>
    <r>
      <rPr>
        <sz val="8.5"/>
        <rFont val="Arial Narrow"/>
        <family val="2"/>
      </rPr>
      <t xml:space="preserve">    county/ city tax. Education tax was eliminated. Amounts contained in the table were payments for previous years.</t>
    </r>
  </si>
  <si>
    <r>
      <t>　　　　　</t>
    </r>
    <r>
      <rPr>
        <sz val="9"/>
        <rFont val="Arial Narrow"/>
        <family val="2"/>
      </rPr>
      <t>2.</t>
    </r>
    <r>
      <rPr>
        <sz val="9"/>
        <rFont val="超研澤中黑"/>
        <family val="3"/>
      </rPr>
      <t>九十一年一月一日起開徵菸酒稅。</t>
    </r>
  </si>
  <si>
    <r>
      <t>　　　　　</t>
    </r>
    <r>
      <rPr>
        <sz val="8.5"/>
        <rFont val="Arial Narrow"/>
        <family val="2"/>
      </rPr>
      <t>2. The government began levying tobacco/alcohol tax starting January 2002.</t>
    </r>
  </si>
  <si>
    <r>
      <t>　　　　　</t>
    </r>
    <r>
      <rPr>
        <sz val="9"/>
        <rFont val="Arial Narrow"/>
        <family val="2"/>
      </rPr>
      <t>3.</t>
    </r>
    <r>
      <rPr>
        <sz val="9"/>
        <rFont val="超研澤中黑"/>
        <family val="3"/>
      </rPr>
      <t>九十一年一月一日起因稅制改變，營業稅含海關代徵及金融重建基金，以致九十一</t>
    </r>
  </si>
  <si>
    <r>
      <t>　　　　　</t>
    </r>
    <r>
      <rPr>
        <sz val="8.5"/>
        <rFont val="Arial Narrow"/>
        <family val="2"/>
      </rPr>
      <t xml:space="preserve">3. The taxation system changed on January 1, 2002. Business tax now included the portion levied by the Customs and </t>
    </r>
  </si>
  <si>
    <r>
      <t>　　　　　</t>
    </r>
    <r>
      <rPr>
        <sz val="9"/>
        <rFont val="Arial Narrow"/>
        <family val="2"/>
      </rPr>
      <t xml:space="preserve">   </t>
    </r>
    <r>
      <rPr>
        <sz val="9"/>
        <rFont val="超研澤中黑"/>
        <family val="3"/>
      </rPr>
      <t>年度營業稅增加五十億之多。</t>
    </r>
    <r>
      <rPr>
        <sz val="9"/>
        <rFont val="Arial Narrow"/>
        <family val="2"/>
      </rPr>
      <t xml:space="preserve"> </t>
    </r>
  </si>
  <si>
    <r>
      <t>　　　　　</t>
    </r>
    <r>
      <rPr>
        <sz val="8.5"/>
        <rFont val="Arial Narrow"/>
        <family val="2"/>
      </rPr>
      <t xml:space="preserve">    Financial Restructuring Fund, which resulted in a $5 billion increase of business tax in 2002.</t>
    </r>
  </si>
  <si>
    <r>
      <t>　　　　　</t>
    </r>
    <r>
      <rPr>
        <sz val="9"/>
        <rFont val="Arial Narrow"/>
        <family val="2"/>
      </rPr>
      <t>4.</t>
    </r>
    <r>
      <rPr>
        <sz val="9"/>
        <rFont val="超研澤中黑"/>
        <family val="3"/>
      </rPr>
      <t>罰鍰為國稅及縣稅合計數。</t>
    </r>
  </si>
  <si>
    <r>
      <t>　　　　　</t>
    </r>
    <r>
      <rPr>
        <sz val="8.5"/>
        <rFont val="Arial Narrow"/>
        <family val="2"/>
      </rPr>
      <t>4. Fines were the total of national tax and county tax.</t>
    </r>
  </si>
  <si>
    <r>
      <t>Unit</t>
    </r>
    <r>
      <rPr>
        <sz val="9"/>
        <rFont val="超研澤中黑"/>
        <family val="3"/>
      </rPr>
      <t>：</t>
    </r>
    <r>
      <rPr>
        <sz val="9"/>
        <rFont val="Arial Narrow"/>
        <family val="2"/>
      </rPr>
      <t>NT$1000</t>
    </r>
  </si>
  <si>
    <t>單位：新台幣千元</t>
  </si>
  <si>
    <r>
      <t>Unit</t>
    </r>
    <r>
      <rPr>
        <sz val="9"/>
        <rFont val="超研澤中黑"/>
        <family val="3"/>
      </rPr>
      <t>：</t>
    </r>
    <r>
      <rPr>
        <sz val="9"/>
        <rFont val="Arial Narrow"/>
        <family val="2"/>
      </rPr>
      <t>NT$1000</t>
    </r>
  </si>
  <si>
    <r>
      <t>說　　明：</t>
    </r>
    <r>
      <rPr>
        <sz val="9"/>
        <rFont val="Arial Narrow"/>
        <family val="2"/>
      </rPr>
      <t>1.</t>
    </r>
    <r>
      <rPr>
        <sz val="9"/>
        <rFont val="超研澤中黑"/>
        <family val="3"/>
      </rPr>
      <t>因精省故更改表式，原省庫、省統籌分配專戶等項變更為國庫及中央統籌。</t>
    </r>
  </si>
  <si>
    <r>
      <t>　　　　　</t>
    </r>
    <r>
      <rPr>
        <sz val="9"/>
        <rFont val="Arial Narrow"/>
        <family val="2"/>
      </rPr>
      <t>2.</t>
    </r>
    <r>
      <rPr>
        <sz val="9"/>
        <rFont val="超研澤中黑"/>
        <family val="3"/>
      </rPr>
      <t>自</t>
    </r>
    <r>
      <rPr>
        <sz val="9"/>
        <rFont val="Arial Narrow"/>
        <family val="2"/>
      </rPr>
      <t>92</t>
    </r>
    <r>
      <rPr>
        <sz val="9"/>
        <rFont val="超研澤中黑"/>
        <family val="3"/>
      </rPr>
      <t>年度起營業稅改由國稅局徵收，本表不再列出營業稅納庫數。</t>
    </r>
  </si>
  <si>
    <t>合　計</t>
  </si>
  <si>
    <r>
      <t xml:space="preserve">年度別及稅目別
</t>
    </r>
    <r>
      <rPr>
        <sz val="9"/>
        <rFont val="Arial Narrow"/>
        <family val="2"/>
      </rPr>
      <t>Fiscal Year &amp; Item</t>
    </r>
  </si>
  <si>
    <r>
      <t xml:space="preserve">實　徵　數
</t>
    </r>
    <r>
      <rPr>
        <sz val="9"/>
        <rFont val="Arial Narrow"/>
        <family val="2"/>
      </rPr>
      <t>(</t>
    </r>
    <r>
      <rPr>
        <sz val="9"/>
        <rFont val="華康粗圓體"/>
        <family val="3"/>
      </rPr>
      <t>淨額</t>
    </r>
    <r>
      <rPr>
        <sz val="9"/>
        <rFont val="Arial Narrow"/>
        <family val="2"/>
      </rPr>
      <t>)</t>
    </r>
  </si>
  <si>
    <t>納　　　庫　　　數</t>
  </si>
  <si>
    <t>Pay to Treasury</t>
  </si>
  <si>
    <t>未　納
庫　數</t>
  </si>
  <si>
    <t>合　計</t>
  </si>
  <si>
    <t>省　庫</t>
  </si>
  <si>
    <t>省統籌分配專戶</t>
  </si>
  <si>
    <t>縣　庫</t>
  </si>
  <si>
    <t>縣統籌
分配專戶</t>
  </si>
  <si>
    <t>Actual Collection</t>
  </si>
  <si>
    <t>Total</t>
  </si>
  <si>
    <t>Total Receipt by
Provincial Gov't</t>
  </si>
  <si>
    <t>Unified Taxation 
by Provincial Gov't</t>
  </si>
  <si>
    <t>The Municipal
Treasury</t>
  </si>
  <si>
    <t>Unified Taxation 
by Hsien Gov't</t>
  </si>
  <si>
    <t>Unpaid to Treasury</t>
  </si>
  <si>
    <t>民國八十四年度</t>
  </si>
  <si>
    <t>民國八十五年度</t>
  </si>
  <si>
    <t>民國八十六年度</t>
  </si>
  <si>
    <t>－</t>
  </si>
  <si>
    <t>民國八十七年度</t>
  </si>
  <si>
    <t>民國八十八年度</t>
  </si>
  <si>
    <t>國　庫</t>
  </si>
  <si>
    <t>中央統籌</t>
  </si>
  <si>
    <t>The National Treasury</t>
  </si>
  <si>
    <t>National Treasury
by Provincial Gov't</t>
  </si>
  <si>
    <r>
      <t xml:space="preserve"> </t>
    </r>
    <r>
      <rPr>
        <sz val="9"/>
        <rFont val="華康粗圓體"/>
        <family val="3"/>
      </rPr>
      <t>八十八年下半年
及八十九年度</t>
    </r>
  </si>
  <si>
    <t>07/01/1999~12/31/2000</t>
  </si>
  <si>
    <r>
      <t xml:space="preserve">    </t>
    </r>
    <r>
      <rPr>
        <sz val="9"/>
        <rFont val="華康粗圓體"/>
        <family val="3"/>
      </rPr>
      <t>九　十年度</t>
    </r>
  </si>
  <si>
    <r>
      <t xml:space="preserve">    </t>
    </r>
    <r>
      <rPr>
        <sz val="9"/>
        <rFont val="華康粗圓體"/>
        <family val="3"/>
      </rPr>
      <t>九十一年度</t>
    </r>
  </si>
  <si>
    <r>
      <t xml:space="preserve">    </t>
    </r>
    <r>
      <rPr>
        <sz val="9"/>
        <rFont val="華康粗圓體"/>
        <family val="3"/>
      </rPr>
      <t>九十二年度</t>
    </r>
  </si>
  <si>
    <r>
      <t xml:space="preserve">    </t>
    </r>
    <r>
      <rPr>
        <sz val="9"/>
        <rFont val="華康粗圓體"/>
        <family val="3"/>
      </rPr>
      <t>九十三年度</t>
    </r>
  </si>
  <si>
    <r>
      <t>　印</t>
    </r>
    <r>
      <rPr>
        <sz val="9"/>
        <rFont val="Arial Narrow"/>
        <family val="2"/>
      </rPr>
      <t xml:space="preserve">  </t>
    </r>
    <r>
      <rPr>
        <sz val="9"/>
        <rFont val="華康粗圓體"/>
        <family val="3"/>
      </rPr>
      <t>花</t>
    </r>
    <r>
      <rPr>
        <sz val="9"/>
        <rFont val="Arial Narrow"/>
        <family val="2"/>
      </rPr>
      <t xml:space="preserve">  </t>
    </r>
    <r>
      <rPr>
        <sz val="9"/>
        <rFont val="華康粗圓體"/>
        <family val="3"/>
      </rPr>
      <t>稅</t>
    </r>
  </si>
  <si>
    <t>Stamp Tax</t>
  </si>
  <si>
    <t>License Tax</t>
  </si>
  <si>
    <r>
      <t>　地</t>
    </r>
    <r>
      <rPr>
        <sz val="9"/>
        <rFont val="Arial Narrow"/>
        <family val="2"/>
      </rPr>
      <t xml:space="preserve">  </t>
    </r>
    <r>
      <rPr>
        <sz val="9"/>
        <rFont val="華康粗圓體"/>
        <family val="3"/>
      </rPr>
      <t>價</t>
    </r>
    <r>
      <rPr>
        <sz val="9"/>
        <rFont val="Arial Narrow"/>
        <family val="2"/>
      </rPr>
      <t xml:space="preserve">  </t>
    </r>
    <r>
      <rPr>
        <sz val="9"/>
        <rFont val="華康粗圓體"/>
        <family val="3"/>
      </rPr>
      <t>稅</t>
    </r>
  </si>
  <si>
    <t>Land Value Tax</t>
  </si>
  <si>
    <t>Land Value Increment Tax</t>
  </si>
  <si>
    <r>
      <t>　房</t>
    </r>
    <r>
      <rPr>
        <sz val="9"/>
        <rFont val="Arial Narrow"/>
        <family val="2"/>
      </rPr>
      <t xml:space="preserve">  </t>
    </r>
    <r>
      <rPr>
        <sz val="9"/>
        <rFont val="華康粗圓體"/>
        <family val="3"/>
      </rPr>
      <t>屋</t>
    </r>
    <r>
      <rPr>
        <sz val="9"/>
        <rFont val="Arial Narrow"/>
        <family val="2"/>
      </rPr>
      <t xml:space="preserve">  </t>
    </r>
    <r>
      <rPr>
        <sz val="9"/>
        <rFont val="華康粗圓體"/>
        <family val="3"/>
      </rPr>
      <t>稅</t>
    </r>
  </si>
  <si>
    <t>House Tax</t>
  </si>
  <si>
    <r>
      <t>　娛</t>
    </r>
    <r>
      <rPr>
        <sz val="9"/>
        <rFont val="Arial Narrow"/>
        <family val="2"/>
      </rPr>
      <t xml:space="preserve">  </t>
    </r>
    <r>
      <rPr>
        <sz val="9"/>
        <rFont val="華康粗圓體"/>
        <family val="3"/>
      </rPr>
      <t>樂</t>
    </r>
    <r>
      <rPr>
        <sz val="9"/>
        <rFont val="Arial Narrow"/>
        <family val="2"/>
      </rPr>
      <t xml:space="preserve">  </t>
    </r>
    <r>
      <rPr>
        <sz val="9"/>
        <rFont val="華康粗圓體"/>
        <family val="3"/>
      </rPr>
      <t>稅</t>
    </r>
  </si>
  <si>
    <t>Amusement Tax</t>
  </si>
  <si>
    <r>
      <t>　契　</t>
    </r>
    <r>
      <rPr>
        <sz val="9"/>
        <rFont val="Arial Narrow"/>
        <family val="2"/>
      </rPr>
      <t xml:space="preserve">    </t>
    </r>
    <r>
      <rPr>
        <sz val="9"/>
        <rFont val="華康粗圓體"/>
        <family val="3"/>
      </rPr>
      <t>稅</t>
    </r>
  </si>
  <si>
    <t>Deeds Tax</t>
  </si>
  <si>
    <r>
      <t>　教</t>
    </r>
    <r>
      <rPr>
        <sz val="9"/>
        <rFont val="Arial Narrow"/>
        <family val="2"/>
      </rPr>
      <t xml:space="preserve">  </t>
    </r>
    <r>
      <rPr>
        <sz val="9"/>
        <rFont val="華康粗圓體"/>
        <family val="3"/>
      </rPr>
      <t>育</t>
    </r>
    <r>
      <rPr>
        <sz val="9"/>
        <rFont val="Arial Narrow"/>
        <family val="2"/>
      </rPr>
      <t xml:space="preserve">  </t>
    </r>
    <r>
      <rPr>
        <sz val="9"/>
        <rFont val="華康粗圓體"/>
        <family val="3"/>
      </rPr>
      <t>捐</t>
    </r>
  </si>
  <si>
    <t>Education Expenditure</t>
  </si>
  <si>
    <r>
      <t>　罰　</t>
    </r>
    <r>
      <rPr>
        <sz val="9"/>
        <rFont val="Arial Narrow"/>
        <family val="2"/>
      </rPr>
      <t xml:space="preserve">    </t>
    </r>
    <r>
      <rPr>
        <sz val="9"/>
        <rFont val="華康粗圓體"/>
        <family val="3"/>
      </rPr>
      <t>鍰</t>
    </r>
  </si>
  <si>
    <t>資料來源：桃園縣稅捐統計要覽。</t>
  </si>
  <si>
    <r>
      <t>表</t>
    </r>
    <r>
      <rPr>
        <sz val="12"/>
        <rFont val="Arial"/>
        <family val="2"/>
      </rPr>
      <t xml:space="preserve"> 6-7</t>
    </r>
    <r>
      <rPr>
        <sz val="12"/>
        <rFont val="華康粗圓體"/>
        <family val="3"/>
      </rPr>
      <t>、</t>
    </r>
    <r>
      <rPr>
        <sz val="12"/>
        <rFont val="Arial"/>
        <family val="2"/>
      </rPr>
      <t xml:space="preserve"> </t>
    </r>
    <r>
      <rPr>
        <sz val="12"/>
        <rFont val="華康粗圓體"/>
        <family val="3"/>
      </rPr>
      <t>各項稅捐納庫數</t>
    </r>
  </si>
  <si>
    <r>
      <t>6-7</t>
    </r>
    <r>
      <rPr>
        <sz val="12"/>
        <rFont val="華康粗圓體"/>
        <family val="3"/>
      </rPr>
      <t>、</t>
    </r>
    <r>
      <rPr>
        <sz val="12"/>
        <rFont val="Arial"/>
        <family val="2"/>
      </rPr>
      <t xml:space="preserve"> Taxation Forwarded to Treasury</t>
    </r>
  </si>
  <si>
    <t>年度別及月別</t>
  </si>
  <si>
    <t>收</t>
  </si>
  <si>
    <t>入</t>
  </si>
  <si>
    <t>Revent</t>
  </si>
  <si>
    <t>本年度收入</t>
  </si>
  <si>
    <t>Current Year Revent</t>
  </si>
  <si>
    <t>以前年度
收　　入</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</si>
  <si>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收　　入</t>
    </r>
  </si>
  <si>
    <t>Fiscal Year &amp; Month</t>
  </si>
  <si>
    <t>稅課收入</t>
  </si>
  <si>
    <r>
      <t>工程受益
費</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</si>
  <si>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罰款及賠
償</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</si>
  <si>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t>規費收入</t>
  </si>
  <si>
    <t>信託管理
收　　入</t>
  </si>
  <si>
    <t>財產收入</t>
  </si>
  <si>
    <t>營業盈餘及
事業收入</t>
  </si>
  <si>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t>
    </r>
    <r>
      <rPr>
        <sz val="8"/>
        <rFont val="Arial Narrow"/>
        <family val="2"/>
      </rPr>
      <t xml:space="preserve"> 
</t>
    </r>
    <r>
      <rPr>
        <sz val="8"/>
        <rFont val="華康粗圓體"/>
        <family val="3"/>
      </rPr>
      <t>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</si>
  <si>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</si>
  <si>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t>賒借收入</t>
  </si>
  <si>
    <t>其他收入</t>
  </si>
  <si>
    <r>
      <t>表</t>
    </r>
    <r>
      <rPr>
        <sz val="12"/>
        <rFont val="Arial"/>
        <family val="2"/>
      </rPr>
      <t>6-8</t>
    </r>
    <r>
      <rPr>
        <sz val="12"/>
        <rFont val="華康粗圓體"/>
        <family val="3"/>
      </rPr>
      <t>、本縣公庫收支</t>
    </r>
  </si>
  <si>
    <r>
      <t>6-8</t>
    </r>
    <r>
      <rPr>
        <sz val="12"/>
        <rFont val="華康粗圓體"/>
        <family val="3"/>
      </rPr>
      <t>、</t>
    </r>
    <r>
      <rPr>
        <sz val="12"/>
        <rFont val="Arial"/>
        <family val="2"/>
      </rPr>
      <t>Revenues of Hsien Treasury</t>
    </r>
  </si>
  <si>
    <r>
      <t>1</t>
    </r>
    <r>
      <rPr>
        <sz val="12"/>
        <rFont val="華康粗圓體"/>
        <family val="3"/>
      </rPr>
      <t>．</t>
    </r>
    <r>
      <rPr>
        <sz val="12"/>
        <rFont val="Arial"/>
        <family val="2"/>
      </rPr>
      <t>Revent</t>
    </r>
  </si>
  <si>
    <r>
      <t>Unit</t>
    </r>
    <r>
      <rPr>
        <sz val="8"/>
        <rFont val="超研澤中黑"/>
        <family val="3"/>
      </rPr>
      <t>：</t>
    </r>
    <r>
      <rPr>
        <sz val="8"/>
        <rFont val="Arial Narrow"/>
        <family val="2"/>
      </rPr>
      <t>NT$1000</t>
    </r>
  </si>
  <si>
    <r>
      <t>資料來源：根據本府財政局</t>
    </r>
    <r>
      <rPr>
        <sz val="8"/>
        <rFont val="Arial Narrow"/>
        <family val="2"/>
      </rPr>
      <t xml:space="preserve"> 2612-01-01-2</t>
    </r>
    <r>
      <rPr>
        <sz val="8"/>
        <rFont val="超研澤中黑"/>
        <family val="3"/>
      </rPr>
      <t>報表編製。</t>
    </r>
  </si>
  <si>
    <r>
      <t>Source</t>
    </r>
    <r>
      <rPr>
        <sz val="8"/>
        <rFont val="超研澤中黑"/>
        <family val="3"/>
      </rPr>
      <t>：</t>
    </r>
    <r>
      <rPr>
        <sz val="8"/>
        <rFont val="Arial Narrow"/>
        <family val="2"/>
      </rPr>
      <t>Bureau of Finance.</t>
    </r>
  </si>
  <si>
    <r>
      <t>Unit</t>
    </r>
    <r>
      <rPr>
        <sz val="8"/>
        <rFont val="超研澤中黑"/>
        <family val="3"/>
      </rPr>
      <t>：</t>
    </r>
    <r>
      <rPr>
        <sz val="8"/>
        <rFont val="Arial Narrow"/>
        <family val="2"/>
      </rPr>
      <t>NT$1000</t>
    </r>
  </si>
  <si>
    <t>支</t>
  </si>
  <si>
    <t>出</t>
  </si>
  <si>
    <t>公庫結存</t>
  </si>
  <si>
    <t>年度別及月別</t>
  </si>
  <si>
    <t>總　　計</t>
  </si>
  <si>
    <t>本年度支出</t>
  </si>
  <si>
    <t>以前年度
支　　出</t>
  </si>
  <si>
    <t>Fiscal Year &amp; Month</t>
  </si>
  <si>
    <t>一般政務
支　　出</t>
  </si>
  <si>
    <t>教育科學
文化支出</t>
  </si>
  <si>
    <t>經建交通
支　　出</t>
  </si>
  <si>
    <t>社會福利
支　　出</t>
  </si>
  <si>
    <t>退休撫卹
支　　出</t>
  </si>
  <si>
    <t>警政支出</t>
  </si>
  <si>
    <t>信託管理
支　　出</t>
  </si>
  <si>
    <t>債務支出</t>
  </si>
  <si>
    <t>公營事業
基金支出</t>
  </si>
  <si>
    <t>其他
支出</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</si>
  <si>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</si>
  <si>
    <r>
      <t>合　</t>
    </r>
    <r>
      <rPr>
        <sz val="8"/>
        <rFont val="Arial Narrow"/>
        <family val="2"/>
      </rPr>
      <t xml:space="preserve">  </t>
    </r>
    <r>
      <rPr>
        <sz val="8"/>
        <rFont val="華康粗圓體"/>
        <family val="3"/>
      </rPr>
      <t>計</t>
    </r>
  </si>
  <si>
    <r>
      <t>社</t>
    </r>
    <r>
      <rPr>
        <sz val="8"/>
        <rFont val="Arial Narrow"/>
        <family val="2"/>
      </rPr>
      <t xml:space="preserve"> </t>
    </r>
    <r>
      <rPr>
        <sz val="8"/>
        <rFont val="華康粗圓體"/>
        <family val="3"/>
      </rPr>
      <t>區</t>
    </r>
    <r>
      <rPr>
        <sz val="8"/>
        <rFont val="Arial Narrow"/>
        <family val="2"/>
      </rPr>
      <t xml:space="preserve"> </t>
    </r>
    <r>
      <rPr>
        <sz val="8"/>
        <rFont val="華康粗圓體"/>
        <family val="3"/>
      </rPr>
      <t>發</t>
    </r>
    <r>
      <rPr>
        <sz val="8"/>
        <rFont val="Arial Narrow"/>
        <family val="2"/>
      </rPr>
      <t xml:space="preserve"> </t>
    </r>
    <r>
      <rPr>
        <sz val="8"/>
        <rFont val="華康粗圓體"/>
        <family val="3"/>
      </rPr>
      <t>展</t>
    </r>
    <r>
      <rPr>
        <sz val="8"/>
        <rFont val="Arial Narrow"/>
        <family val="2"/>
      </rPr>
      <t xml:space="preserve"> </t>
    </r>
    <r>
      <rPr>
        <sz val="8"/>
        <rFont val="華康粗圓體"/>
        <family val="3"/>
      </rPr>
      <t>及
環境保護支出</t>
    </r>
  </si>
  <si>
    <r>
      <t>協</t>
    </r>
    <r>
      <rPr>
        <sz val="8"/>
        <rFont val="Arial Narrow"/>
        <family val="2"/>
      </rPr>
      <t xml:space="preserve">  </t>
    </r>
    <r>
      <rPr>
        <sz val="8"/>
        <rFont val="華康粗圓體"/>
        <family val="3"/>
      </rPr>
      <t>助</t>
    </r>
    <r>
      <rPr>
        <sz val="8"/>
        <rFont val="Arial Narrow"/>
        <family val="2"/>
      </rPr>
      <t xml:space="preserve">  </t>
    </r>
    <r>
      <rPr>
        <sz val="8"/>
        <rFont val="華康粗圓體"/>
        <family val="3"/>
      </rPr>
      <t>及
補助支出</t>
    </r>
  </si>
  <si>
    <t>收</t>
  </si>
  <si>
    <t>入</t>
  </si>
  <si>
    <t>Revent</t>
  </si>
  <si>
    <t>本年度收入</t>
  </si>
  <si>
    <t>Current Year Revent</t>
  </si>
  <si>
    <t>以前年度
收　　入</t>
  </si>
  <si>
    <t>合　計</t>
  </si>
  <si>
    <t>稅課收入</t>
  </si>
  <si>
    <t>規費收入</t>
  </si>
  <si>
    <t>信託管理
收　　入</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</si>
  <si>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收　　入</t>
    </r>
  </si>
  <si>
    <r>
      <t>工程受益
費</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</si>
  <si>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罰款及賠
償</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</si>
  <si>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 xml:space="preserve">財產收入
</t>
    </r>
    <r>
      <rPr>
        <sz val="8"/>
        <rFont val="Arial Narrow"/>
        <family val="2"/>
      </rPr>
      <t xml:space="preserve"> Receipts from Property</t>
    </r>
  </si>
  <si>
    <t>營業盈餘及
事業收入</t>
  </si>
  <si>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t>
    </r>
    <r>
      <rPr>
        <sz val="8"/>
        <rFont val="Arial Narrow"/>
        <family val="2"/>
      </rPr>
      <t xml:space="preserve"> 
</t>
    </r>
    <r>
      <rPr>
        <sz val="8"/>
        <rFont val="華康粗圓體"/>
        <family val="3"/>
      </rPr>
      <t>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</si>
  <si>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</si>
  <si>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t>自治稅捐
收　　入</t>
  </si>
  <si>
    <t>賒借收入</t>
  </si>
  <si>
    <t>其他收入</t>
  </si>
  <si>
    <r>
      <t>表</t>
    </r>
    <r>
      <rPr>
        <sz val="12"/>
        <rFont val="Arial"/>
        <family val="2"/>
      </rPr>
      <t>6-9</t>
    </r>
    <r>
      <rPr>
        <sz val="12"/>
        <rFont val="華康粗圓體"/>
        <family val="3"/>
      </rPr>
      <t>、本縣各鄉鎮市公庫收支</t>
    </r>
  </si>
  <si>
    <t>單位：家</t>
  </si>
  <si>
    <t>Unit : Number</t>
  </si>
  <si>
    <r>
      <t>Source</t>
    </r>
    <r>
      <rPr>
        <sz val="8.5"/>
        <rFont val="超研澤中黑"/>
        <family val="3"/>
      </rPr>
      <t>：</t>
    </r>
    <r>
      <rPr>
        <sz val="8.5"/>
        <rFont val="Arial Narrow"/>
        <family val="2"/>
      </rPr>
      <t>Central Bank</t>
    </r>
  </si>
  <si>
    <r>
      <t>說明：</t>
    </r>
    <r>
      <rPr>
        <sz val="8.5"/>
        <rFont val="Arial Narrow"/>
        <family val="2"/>
      </rPr>
      <t>1.</t>
    </r>
    <r>
      <rPr>
        <sz val="8.5"/>
        <rFont val="超研澤中黑"/>
        <family val="3"/>
      </rPr>
      <t>總機構算一單位，分行</t>
    </r>
    <r>
      <rPr>
        <sz val="8.5"/>
        <rFont val="Arial Narrow"/>
        <family val="2"/>
      </rPr>
      <t>(</t>
    </r>
    <r>
      <rPr>
        <sz val="8.5"/>
        <rFont val="超研澤中黑"/>
        <family val="3"/>
      </rPr>
      <t>局、庫、社、部、公司</t>
    </r>
    <r>
      <rPr>
        <sz val="8.5"/>
        <rFont val="Arial Narrow"/>
        <family val="2"/>
      </rPr>
      <t>)</t>
    </r>
    <r>
      <rPr>
        <sz val="8.5"/>
        <rFont val="超研澤中黑"/>
        <family val="3"/>
      </rPr>
      <t>等分支機構算一單位，其餘分支單位不納入統計。</t>
    </r>
  </si>
  <si>
    <r>
      <t>Notes</t>
    </r>
    <r>
      <rPr>
        <sz val="8.5"/>
        <rFont val="超研澤中黑"/>
        <family val="3"/>
      </rPr>
      <t>：</t>
    </r>
    <r>
      <rPr>
        <sz val="8.5"/>
        <rFont val="Arial Narrow"/>
        <family val="2"/>
      </rPr>
      <t>1. Every head office and branch counts as one. All other branches do not count.</t>
    </r>
  </si>
  <si>
    <r>
      <t>　　　</t>
    </r>
    <r>
      <rPr>
        <sz val="8.5"/>
        <rFont val="Arial Narrow"/>
        <family val="2"/>
      </rPr>
      <t>6.</t>
    </r>
    <r>
      <rPr>
        <sz val="8.5"/>
        <rFont val="超研澤中黑"/>
        <family val="3"/>
      </rPr>
      <t>金融控股公司之子公司及其分支機構，如係金融機構，納入各該金融機構統計。</t>
    </r>
  </si>
  <si>
    <r>
      <t>　　　</t>
    </r>
    <r>
      <rPr>
        <sz val="8.5"/>
        <rFont val="Arial Narrow"/>
        <family val="2"/>
      </rPr>
      <t>7.</t>
    </r>
    <r>
      <rPr>
        <sz val="8.5"/>
        <rFont val="超研澤中黑"/>
        <family val="3"/>
      </rPr>
      <t>八十九年為九十年四月底資料。</t>
    </r>
  </si>
  <si>
    <t>金融財稅</t>
  </si>
  <si>
    <t>Banking, Finance and Taxation</t>
  </si>
  <si>
    <r>
      <t>　　　</t>
    </r>
    <r>
      <rPr>
        <sz val="8.5"/>
        <rFont val="Arial Narrow"/>
        <family val="2"/>
      </rPr>
      <t>2.</t>
    </r>
    <r>
      <rPr>
        <sz val="8.5"/>
        <rFont val="超研澤中黑"/>
        <family val="3"/>
      </rPr>
      <t>中央銀行、中央存款保險公司及信用卡公司不納入統計。</t>
    </r>
  </si>
  <si>
    <r>
      <t>　　　</t>
    </r>
    <r>
      <rPr>
        <sz val="8.5"/>
        <rFont val="Arial Narrow"/>
        <family val="2"/>
      </rPr>
      <t>3.</t>
    </r>
    <r>
      <rPr>
        <sz val="8.5"/>
        <rFont val="超研澤中黑"/>
        <family val="3"/>
      </rPr>
      <t>本國銀行及本國人壽保險公司部分不包括郵匯局之分支單位。</t>
    </r>
  </si>
  <si>
    <r>
      <t>　　　</t>
    </r>
    <r>
      <rPr>
        <sz val="8.5"/>
        <rFont val="Arial Narrow"/>
        <family val="2"/>
      </rPr>
      <t>4.</t>
    </r>
    <r>
      <rPr>
        <sz val="8.5"/>
        <rFont val="超研澤中黑"/>
        <family val="3"/>
      </rPr>
      <t>產物保險合作社納入本國產物保險公司計算。</t>
    </r>
  </si>
  <si>
    <r>
      <t>　　　</t>
    </r>
    <r>
      <rPr>
        <sz val="8.5"/>
        <rFont val="Arial Narrow"/>
        <family val="2"/>
      </rPr>
      <t>5.</t>
    </r>
    <r>
      <rPr>
        <sz val="8.5"/>
        <rFont val="超研澤中黑"/>
        <family val="3"/>
      </rPr>
      <t>外國銀行、外國人壽保險公司、外國產物保險公司及外國銀行駐台代表人辦事處之總機構不納入統計。</t>
    </r>
  </si>
  <si>
    <r>
      <t xml:space="preserve">八十八年下半年
及八十九年度
</t>
    </r>
    <r>
      <rPr>
        <sz val="7"/>
        <rFont val="Arial Narrow"/>
        <family val="2"/>
      </rPr>
      <t>07/01/1999~12/31/2000</t>
    </r>
  </si>
  <si>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</si>
  <si>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</si>
  <si>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</si>
  <si>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</si>
  <si>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</si>
  <si>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</si>
  <si>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</si>
  <si>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</si>
  <si>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</si>
  <si>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</si>
  <si>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</si>
  <si>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</si>
  <si>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</si>
  <si>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</si>
  <si>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</si>
  <si>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</si>
  <si>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</si>
  <si>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</si>
  <si>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</si>
  <si>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</si>
  <si>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</si>
  <si>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</si>
  <si>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</si>
  <si>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</si>
  <si>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</si>
  <si>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t>Expenditure for
Social Relief</t>
  </si>
  <si>
    <t>福利服務
支　　出</t>
  </si>
  <si>
    <t>國民就業
支　　出</t>
  </si>
  <si>
    <t>醫療保健
支　　出</t>
  </si>
  <si>
    <t>社區發展
支　　出</t>
  </si>
  <si>
    <t>環境保護
支　　出</t>
  </si>
  <si>
    <t>退休撫卹
給付支出</t>
  </si>
  <si>
    <t>警政支出</t>
  </si>
  <si>
    <t>債務付息
支　　出</t>
  </si>
  <si>
    <t>協助支出</t>
  </si>
  <si>
    <t>專案補助
支　　出</t>
  </si>
  <si>
    <t>平衡預算
補助支出</t>
  </si>
  <si>
    <t>第　二
預備金</t>
  </si>
  <si>
    <t>其他支出</t>
  </si>
  <si>
    <t>Expenditure for Beneficial Service</t>
  </si>
  <si>
    <t>Expenditure for Employment Service</t>
  </si>
  <si>
    <t>Expenditure for Public Health</t>
  </si>
  <si>
    <t>Community Development</t>
  </si>
  <si>
    <t>Expenditure for Environmental Protection</t>
  </si>
  <si>
    <t>Expenditure on Retirement and Pension</t>
  </si>
  <si>
    <t>Expenditure for Police Service</t>
  </si>
  <si>
    <t xml:space="preserve">Expenditure for Interest Payment </t>
  </si>
  <si>
    <t>Expenditure for Assistance</t>
  </si>
  <si>
    <t>Expenditure for Transfers of Special Characters</t>
  </si>
  <si>
    <t>Expenditure for Transfers of General characters</t>
  </si>
  <si>
    <t>Second Reserve Fund</t>
  </si>
  <si>
    <t>Other Expenditure</t>
  </si>
  <si>
    <t>總　計</t>
  </si>
  <si>
    <t>Expenditure
for Environmental Protection</t>
  </si>
  <si>
    <t>Police Administration</t>
  </si>
  <si>
    <t>Increase/Decrease Percentage</t>
  </si>
  <si>
    <r>
      <t>民國八十五年底</t>
    </r>
    <r>
      <rPr>
        <sz val="8.5"/>
        <rFont val="Arial Narrow"/>
        <family val="2"/>
      </rPr>
      <t xml:space="preserve"> End of 1996</t>
    </r>
  </si>
  <si>
    <t>－</t>
  </si>
  <si>
    <r>
      <t>民國八十六年底</t>
    </r>
    <r>
      <rPr>
        <sz val="8.5"/>
        <rFont val="Arial Narrow"/>
        <family val="2"/>
      </rPr>
      <t xml:space="preserve"> End of 1997</t>
    </r>
  </si>
  <si>
    <r>
      <t>民國八十七年底</t>
    </r>
    <r>
      <rPr>
        <sz val="8.5"/>
        <rFont val="Arial Narrow"/>
        <family val="2"/>
      </rPr>
      <t xml:space="preserve"> End of 1998</t>
    </r>
  </si>
  <si>
    <r>
      <t>民國八十八年底</t>
    </r>
    <r>
      <rPr>
        <sz val="8.5"/>
        <rFont val="Arial Narrow"/>
        <family val="2"/>
      </rPr>
      <t xml:space="preserve"> End of 1999</t>
    </r>
  </si>
  <si>
    <r>
      <t>民國八十九年底</t>
    </r>
    <r>
      <rPr>
        <sz val="8.5"/>
        <rFont val="Arial Narrow"/>
        <family val="2"/>
      </rPr>
      <t xml:space="preserve"> End of 2000</t>
    </r>
  </si>
  <si>
    <r>
      <t>民國九　十年底</t>
    </r>
    <r>
      <rPr>
        <sz val="8.5"/>
        <rFont val="Arial Narrow"/>
        <family val="2"/>
      </rPr>
      <t xml:space="preserve"> End of 2001</t>
    </r>
  </si>
  <si>
    <r>
      <t>民國九十一年底</t>
    </r>
    <r>
      <rPr>
        <sz val="8.5"/>
        <rFont val="Arial Narrow"/>
        <family val="2"/>
      </rPr>
      <t xml:space="preserve"> End of 2002</t>
    </r>
  </si>
  <si>
    <r>
      <t>桃園市</t>
    </r>
    <r>
      <rPr>
        <sz val="8.5"/>
        <rFont val="Arial Narrow"/>
        <family val="2"/>
      </rPr>
      <t xml:space="preserve"> Taoyuan City</t>
    </r>
  </si>
  <si>
    <r>
      <t>中壢市</t>
    </r>
    <r>
      <rPr>
        <sz val="8.5"/>
        <rFont val="Arial Narrow"/>
        <family val="2"/>
      </rPr>
      <t xml:space="preserve"> Jhongli City</t>
    </r>
  </si>
  <si>
    <r>
      <t>平鎮市</t>
    </r>
    <r>
      <rPr>
        <sz val="8.5"/>
        <rFont val="Arial Narrow"/>
        <family val="2"/>
      </rPr>
      <t xml:space="preserve"> Pingjhen City</t>
    </r>
  </si>
  <si>
    <r>
      <t>八德市</t>
    </r>
    <r>
      <rPr>
        <sz val="8.5"/>
        <rFont val="Arial Narrow"/>
        <family val="2"/>
      </rPr>
      <t xml:space="preserve"> Bade City</t>
    </r>
  </si>
  <si>
    <r>
      <t>大溪鎮</t>
    </r>
    <r>
      <rPr>
        <sz val="8.5"/>
        <rFont val="Arial Narrow"/>
        <family val="2"/>
      </rPr>
      <t xml:space="preserve"> Dasi Township</t>
    </r>
  </si>
  <si>
    <r>
      <t>楊梅鎮</t>
    </r>
    <r>
      <rPr>
        <sz val="8.5"/>
        <rFont val="Arial Narrow"/>
        <family val="2"/>
      </rPr>
      <t xml:space="preserve"> Yangmei Towhship</t>
    </r>
  </si>
  <si>
    <r>
      <t>蘆竹鄉</t>
    </r>
    <r>
      <rPr>
        <sz val="8.5"/>
        <rFont val="Arial Narrow"/>
        <family val="2"/>
      </rPr>
      <t xml:space="preserve"> Lujhu Township</t>
    </r>
  </si>
  <si>
    <r>
      <t>大園鄉</t>
    </r>
    <r>
      <rPr>
        <sz val="8.5"/>
        <rFont val="Arial Narrow"/>
        <family val="2"/>
      </rPr>
      <t xml:space="preserve"> Dayuan Township</t>
    </r>
  </si>
  <si>
    <r>
      <t>龜山鄉</t>
    </r>
    <r>
      <rPr>
        <sz val="8.5"/>
        <rFont val="Arial Narrow"/>
        <family val="2"/>
      </rPr>
      <t xml:space="preserve"> Gueishan Township</t>
    </r>
  </si>
  <si>
    <r>
      <t>龍潭鄉</t>
    </r>
    <r>
      <rPr>
        <sz val="8.5"/>
        <rFont val="Arial Narrow"/>
        <family val="2"/>
      </rPr>
      <t xml:space="preserve"> Longtan Township</t>
    </r>
  </si>
  <si>
    <r>
      <t>新屋鄉</t>
    </r>
    <r>
      <rPr>
        <sz val="8.5"/>
        <rFont val="Arial Narrow"/>
        <family val="2"/>
      </rPr>
      <t xml:space="preserve"> Sinwu Township</t>
    </r>
  </si>
  <si>
    <r>
      <t>觀音鄉</t>
    </r>
    <r>
      <rPr>
        <sz val="8.5"/>
        <rFont val="Arial Narrow"/>
        <family val="2"/>
      </rPr>
      <t xml:space="preserve"> Guanyin Township</t>
    </r>
  </si>
  <si>
    <r>
      <t>復興鄉</t>
    </r>
    <r>
      <rPr>
        <sz val="8.5"/>
        <rFont val="Arial Narrow"/>
        <family val="2"/>
      </rPr>
      <t xml:space="preserve"> Fusing Township</t>
    </r>
  </si>
  <si>
    <t>Fiscal Year</t>
  </si>
  <si>
    <t>Grand Total</t>
  </si>
  <si>
    <t>Receipts from Taxes</t>
  </si>
  <si>
    <t>Receipts from Charges on Benefits of Public Construction</t>
  </si>
  <si>
    <t>Receipts from Fines and Indemnity</t>
  </si>
  <si>
    <t>Receipts from Fees</t>
  </si>
  <si>
    <t>Revenue of Pollution Prevention Fees</t>
  </si>
  <si>
    <t>Receipts from Property</t>
  </si>
  <si>
    <t>Profits of Public Business &amp; Enterprises</t>
  </si>
  <si>
    <t>Subsidies</t>
  </si>
  <si>
    <t>Receipts from Donations and Gifts</t>
  </si>
  <si>
    <t>Other Receipts</t>
  </si>
  <si>
    <t>Receipts from Charges on Benefits of Public Construction</t>
  </si>
  <si>
    <t>Expenditure for Police Service</t>
  </si>
  <si>
    <t>福利服務
支　　出</t>
  </si>
  <si>
    <t>國民就業
支　　出</t>
  </si>
  <si>
    <t>醫療保健
支　　出</t>
  </si>
  <si>
    <t>社區發展
支　　出</t>
  </si>
  <si>
    <t>環境保護
支　　出</t>
  </si>
  <si>
    <t>退休撫卹
給付支出</t>
  </si>
  <si>
    <t>警政支出</t>
  </si>
  <si>
    <t>債務付息
支　　出</t>
  </si>
  <si>
    <t>協助支出</t>
  </si>
  <si>
    <t>專案補助
支　　出</t>
  </si>
  <si>
    <t>平衡預算
補助支出</t>
  </si>
  <si>
    <t>第　二
預備金</t>
  </si>
  <si>
    <t>其他支出</t>
  </si>
  <si>
    <t>Fiscal Year</t>
  </si>
  <si>
    <t>Expenditure for Beneficial Service</t>
  </si>
  <si>
    <t>Expenditure for Employment Service</t>
  </si>
  <si>
    <t>Expenditure for Public Health</t>
  </si>
  <si>
    <t>Community Development</t>
  </si>
  <si>
    <t>Expenditure for Environmental Protection</t>
  </si>
  <si>
    <t>Expenditure on Retirement and Pension</t>
  </si>
  <si>
    <t>Expenditure for Police Service</t>
  </si>
  <si>
    <t xml:space="preserve">Expenditure for Interest Payment </t>
  </si>
  <si>
    <t>Second Reserve Fund</t>
  </si>
  <si>
    <t>Other Expenditure</t>
  </si>
  <si>
    <t>Receipts Fines and Indemnity</t>
  </si>
  <si>
    <t>Receipts from Trust Manage-ment</t>
  </si>
  <si>
    <t xml:space="preserve"> Receipts from Property</t>
  </si>
  <si>
    <t>Assistance and Donation</t>
  </si>
  <si>
    <t>Purchases on Credit</t>
  </si>
  <si>
    <t>Others</t>
  </si>
  <si>
    <t>Previous Year Revenues</t>
  </si>
  <si>
    <t>Extra-budget Revenues</t>
  </si>
  <si>
    <r>
      <t>一　月</t>
    </r>
    <r>
      <rPr>
        <sz val="8"/>
        <rFont val="Arial Narrow"/>
        <family val="2"/>
      </rPr>
      <t xml:space="preserve"> January</t>
    </r>
  </si>
  <si>
    <r>
      <t>二　月</t>
    </r>
    <r>
      <rPr>
        <sz val="8"/>
        <rFont val="Arial Narrow"/>
        <family val="2"/>
      </rPr>
      <t xml:space="preserve"> February</t>
    </r>
  </si>
  <si>
    <r>
      <t>三　月</t>
    </r>
    <r>
      <rPr>
        <sz val="8"/>
        <rFont val="Arial Narrow"/>
        <family val="2"/>
      </rPr>
      <t xml:space="preserve"> March</t>
    </r>
  </si>
  <si>
    <r>
      <t>四　月</t>
    </r>
    <r>
      <rPr>
        <sz val="8"/>
        <rFont val="Arial Narrow"/>
        <family val="2"/>
      </rPr>
      <t xml:space="preserve"> April</t>
    </r>
  </si>
  <si>
    <r>
      <t>五　月</t>
    </r>
    <r>
      <rPr>
        <sz val="8"/>
        <rFont val="Arial Narrow"/>
        <family val="2"/>
      </rPr>
      <t xml:space="preserve"> May</t>
    </r>
  </si>
  <si>
    <r>
      <t>六　月</t>
    </r>
    <r>
      <rPr>
        <sz val="8"/>
        <rFont val="Arial Narrow"/>
        <family val="2"/>
      </rPr>
      <t xml:space="preserve"> June</t>
    </r>
  </si>
  <si>
    <r>
      <t>七　月</t>
    </r>
    <r>
      <rPr>
        <sz val="8"/>
        <rFont val="Arial Narrow"/>
        <family val="2"/>
      </rPr>
      <t xml:space="preserve"> July</t>
    </r>
  </si>
  <si>
    <r>
      <t>八　月</t>
    </r>
    <r>
      <rPr>
        <sz val="8"/>
        <rFont val="Arial Narrow"/>
        <family val="2"/>
      </rPr>
      <t xml:space="preserve"> August</t>
    </r>
  </si>
  <si>
    <r>
      <t>九　月</t>
    </r>
    <r>
      <rPr>
        <sz val="8"/>
        <rFont val="Arial Narrow"/>
        <family val="2"/>
      </rPr>
      <t xml:space="preserve"> September</t>
    </r>
  </si>
  <si>
    <r>
      <t>十　月</t>
    </r>
    <r>
      <rPr>
        <sz val="8"/>
        <rFont val="Arial Narrow"/>
        <family val="2"/>
      </rPr>
      <t xml:space="preserve"> October</t>
    </r>
  </si>
  <si>
    <r>
      <t>十一月</t>
    </r>
    <r>
      <rPr>
        <sz val="8"/>
        <rFont val="Arial Narrow"/>
        <family val="2"/>
      </rPr>
      <t xml:space="preserve"> November</t>
    </r>
  </si>
  <si>
    <r>
      <t>十二月</t>
    </r>
    <r>
      <rPr>
        <sz val="8"/>
        <rFont val="Arial Narrow"/>
        <family val="2"/>
      </rPr>
      <t xml:space="preserve"> December</t>
    </r>
  </si>
  <si>
    <t>General Administration</t>
  </si>
  <si>
    <t>Education Science &amp; Culture</t>
  </si>
  <si>
    <t>Economic Development</t>
  </si>
  <si>
    <t xml:space="preserve"> Social Welfare</t>
  </si>
  <si>
    <t>Community Development &amp; Environmental Protection</t>
  </si>
  <si>
    <t>Expenditure for Retirement and Pension</t>
  </si>
  <si>
    <t>Trust Management Expenditure</t>
  </si>
  <si>
    <t>Obligation</t>
  </si>
  <si>
    <t>Assis-tance</t>
  </si>
  <si>
    <t>Government-Run Enterprises Fund Expenditure</t>
  </si>
  <si>
    <t>Extrabudget Revenues</t>
  </si>
  <si>
    <t>Treasury Remain-der</t>
  </si>
  <si>
    <t>Self-Governance Tax Revenue</t>
  </si>
  <si>
    <r>
      <t xml:space="preserve">財產孳息
收　　入
</t>
    </r>
    <r>
      <rPr>
        <sz val="8"/>
        <rFont val="Arial Narrow"/>
        <family val="2"/>
      </rPr>
      <t>Interest Property</t>
    </r>
  </si>
  <si>
    <r>
      <t xml:space="preserve">財產售價
收回收入
</t>
    </r>
    <r>
      <rPr>
        <sz val="8"/>
        <rFont val="Arial Narrow"/>
        <family val="2"/>
      </rPr>
      <t>Public Property</t>
    </r>
  </si>
  <si>
    <r>
      <t>資料來源：桃園縣各鄉鎮</t>
    </r>
    <r>
      <rPr>
        <sz val="8.5"/>
        <rFont val="Arial Narrow"/>
        <family val="2"/>
      </rPr>
      <t>(</t>
    </r>
    <r>
      <rPr>
        <sz val="8.5"/>
        <rFont val="超研澤中黑"/>
        <family val="3"/>
      </rPr>
      <t>市</t>
    </r>
    <r>
      <rPr>
        <sz val="8.5"/>
        <rFont val="Arial Narrow"/>
        <family val="2"/>
      </rPr>
      <t>)</t>
    </r>
    <r>
      <rPr>
        <sz val="8.5"/>
        <rFont val="超研澤中黑"/>
        <family val="3"/>
      </rPr>
      <t>總預算彙編、桃園縣各鄉鎮</t>
    </r>
    <r>
      <rPr>
        <sz val="8.5"/>
        <rFont val="Arial Narrow"/>
        <family val="2"/>
      </rPr>
      <t>(</t>
    </r>
    <r>
      <rPr>
        <sz val="8.5"/>
        <rFont val="超研澤中黑"/>
        <family val="3"/>
      </rPr>
      <t>市</t>
    </r>
    <r>
      <rPr>
        <sz val="8.5"/>
        <rFont val="Arial Narrow"/>
        <family val="2"/>
      </rPr>
      <t>)</t>
    </r>
    <r>
      <rPr>
        <sz val="8.5"/>
        <rFont val="超研澤中黑"/>
        <family val="3"/>
      </rPr>
      <t>追加減預算資料</t>
    </r>
  </si>
  <si>
    <t>Surplus Public
Enterprises</t>
  </si>
  <si>
    <t>Contribution and 
Donations</t>
  </si>
  <si>
    <t>Othes</t>
  </si>
  <si>
    <t>Assistance</t>
  </si>
  <si>
    <t>Project Subsidies</t>
  </si>
  <si>
    <t>Subsidies for Balancing Budgets</t>
  </si>
  <si>
    <t>　決　　算　</t>
  </si>
  <si>
    <t>　預　　算　</t>
  </si>
  <si>
    <t>Budget</t>
  </si>
  <si>
    <t>增　　減
百分比％</t>
  </si>
  <si>
    <t>Original Budgets</t>
  </si>
  <si>
    <t>Reapportionments</t>
  </si>
  <si>
    <t>Budgets after Reapportionments</t>
  </si>
  <si>
    <t>Increase/Decrease</t>
  </si>
  <si>
    <t>支</t>
  </si>
  <si>
    <t>出</t>
  </si>
  <si>
    <t>公庫結存</t>
  </si>
  <si>
    <t>年度別及月別</t>
  </si>
  <si>
    <t>一般政務
支　　出</t>
  </si>
  <si>
    <t>教育科學
文化支出</t>
  </si>
  <si>
    <t>經建交通
支　　出</t>
  </si>
  <si>
    <t>社會福利
支　　出</t>
  </si>
  <si>
    <t>退休撫卹
支　　出</t>
  </si>
  <si>
    <t>債務支出</t>
  </si>
  <si>
    <t>公營事業
基金支出</t>
  </si>
  <si>
    <t>其他
支出</t>
  </si>
  <si>
    <t>Expenditures</t>
  </si>
  <si>
    <t>本年度支出</t>
  </si>
  <si>
    <r>
      <t>2</t>
    </r>
    <r>
      <rPr>
        <sz val="12"/>
        <rFont val="華康粗圓體"/>
        <family val="3"/>
      </rPr>
      <t>．支　出</t>
    </r>
  </si>
  <si>
    <r>
      <t>2</t>
    </r>
    <r>
      <rPr>
        <sz val="12"/>
        <rFont val="華康粗圓體"/>
        <family val="3"/>
      </rPr>
      <t>．</t>
    </r>
    <r>
      <rPr>
        <sz val="12"/>
        <rFont val="Arial"/>
        <family val="2"/>
      </rPr>
      <t>Expenditures</t>
    </r>
  </si>
  <si>
    <r>
      <t>2</t>
    </r>
    <r>
      <rPr>
        <sz val="12"/>
        <rFont val="華康粗圓體"/>
        <family val="3"/>
      </rPr>
      <t>．支　出</t>
    </r>
  </si>
  <si>
    <r>
      <t>2</t>
    </r>
    <r>
      <rPr>
        <sz val="12"/>
        <rFont val="華康粗圓體"/>
        <family val="3"/>
      </rPr>
      <t>．</t>
    </r>
    <r>
      <rPr>
        <sz val="12"/>
        <rFont val="Arial"/>
        <family val="2"/>
      </rPr>
      <t>Expenditures</t>
    </r>
  </si>
  <si>
    <t>總　　計</t>
  </si>
  <si>
    <t>Grand Total</t>
  </si>
  <si>
    <t>Taxes</t>
  </si>
  <si>
    <t>Special Assessment</t>
  </si>
  <si>
    <t>Fines and Indemnity</t>
  </si>
  <si>
    <t>Receipts from Fees</t>
  </si>
  <si>
    <t>Trust Account</t>
  </si>
  <si>
    <t>Public Property</t>
  </si>
  <si>
    <t>Assistance and Donation</t>
  </si>
  <si>
    <r>
      <t>表</t>
    </r>
    <r>
      <rPr>
        <sz val="12"/>
        <rFont val="Arial"/>
        <family val="2"/>
      </rPr>
      <t xml:space="preserve"> 6-10</t>
    </r>
    <r>
      <rPr>
        <sz val="12"/>
        <rFont val="華康粗圓體"/>
        <family val="3"/>
      </rPr>
      <t>、</t>
    </r>
    <r>
      <rPr>
        <sz val="12"/>
        <rFont val="Arial"/>
        <family val="2"/>
      </rPr>
      <t xml:space="preserve"> </t>
    </r>
    <r>
      <rPr>
        <sz val="12"/>
        <rFont val="華康粗圓體"/>
        <family val="3"/>
      </rPr>
      <t>各鄉鎮市歲入預決算－按來源別分</t>
    </r>
  </si>
  <si>
    <r>
      <t>6-10</t>
    </r>
    <r>
      <rPr>
        <sz val="12"/>
        <rFont val="華康粗圓體"/>
        <family val="3"/>
      </rPr>
      <t>、</t>
    </r>
    <r>
      <rPr>
        <sz val="12"/>
        <rFont val="Arial"/>
        <family val="2"/>
      </rPr>
      <t xml:space="preserve"> Budget and Settled Account of Revenues of Township Offices</t>
    </r>
  </si>
  <si>
    <t>預　算</t>
  </si>
  <si>
    <t xml:space="preserve">Budget     </t>
  </si>
  <si>
    <t>單位：新臺幣千元</t>
  </si>
  <si>
    <t>年度別</t>
  </si>
  <si>
    <t>Receipts from Taxes</t>
  </si>
  <si>
    <t>Receipts from
Fines and Indemnity</t>
  </si>
  <si>
    <t>Revenue of Pollution Prevention Fees</t>
  </si>
  <si>
    <t>Receipts from
Property</t>
  </si>
  <si>
    <t>Profits of Public
Business &amp;
Enterprises</t>
  </si>
  <si>
    <t>Subsidies</t>
  </si>
  <si>
    <t>Receipts from
Donations and Gifts</t>
  </si>
  <si>
    <t>Other Receipts</t>
  </si>
  <si>
    <r>
      <t>資料來源：桃園縣各鄉鎮</t>
    </r>
    <r>
      <rPr>
        <sz val="9"/>
        <rFont val="Arial Narrow"/>
        <family val="2"/>
      </rPr>
      <t>(</t>
    </r>
    <r>
      <rPr>
        <sz val="9"/>
        <rFont val="超研澤中黑"/>
        <family val="3"/>
      </rPr>
      <t>市</t>
    </r>
    <r>
      <rPr>
        <sz val="9"/>
        <rFont val="Arial Narrow"/>
        <family val="2"/>
      </rPr>
      <t>)</t>
    </r>
    <r>
      <rPr>
        <sz val="9"/>
        <rFont val="超研澤中黑"/>
        <family val="3"/>
      </rPr>
      <t>總決算彙編</t>
    </r>
  </si>
  <si>
    <t>　決　　算　</t>
  </si>
  <si>
    <t>　使用牌照稅</t>
  </si>
  <si>
    <t>　土地增值稅</t>
  </si>
  <si>
    <t>單位：新台幣千元</t>
  </si>
  <si>
    <t>Current Year Expenditures</t>
  </si>
  <si>
    <t>總　　計</t>
  </si>
  <si>
    <t>Fiscal Year &amp; Month</t>
  </si>
  <si>
    <r>
      <t>1</t>
    </r>
    <r>
      <rPr>
        <sz val="12"/>
        <rFont val="華康粗圓體"/>
        <family val="3"/>
      </rPr>
      <t>．收　入</t>
    </r>
  </si>
  <si>
    <r>
      <t>6-4</t>
    </r>
    <r>
      <rPr>
        <sz val="12"/>
        <rFont val="華康粗圓體"/>
        <family val="3"/>
      </rPr>
      <t>、</t>
    </r>
    <r>
      <rPr>
        <sz val="12"/>
        <rFont val="Arial"/>
        <family val="2"/>
      </rPr>
      <t>Budget and Settled Account of Expenditures by Administrative Affairs (Cont.End)</t>
    </r>
  </si>
  <si>
    <t>　決　　算　</t>
  </si>
  <si>
    <t>Settled</t>
  </si>
  <si>
    <t>工程受益費
收　　　入</t>
  </si>
  <si>
    <t>總　　計</t>
  </si>
  <si>
    <t>稅課收入</t>
  </si>
  <si>
    <t>規費收入</t>
  </si>
  <si>
    <t>污染防制費
收　　　入</t>
  </si>
  <si>
    <t>財產收入</t>
  </si>
  <si>
    <t>其他收入</t>
  </si>
  <si>
    <t>－</t>
  </si>
  <si>
    <r>
      <t>表</t>
    </r>
    <r>
      <rPr>
        <sz val="12"/>
        <rFont val="Arial"/>
        <family val="2"/>
      </rPr>
      <t>6-4</t>
    </r>
    <r>
      <rPr>
        <sz val="12"/>
        <rFont val="華康粗圓體"/>
        <family val="3"/>
      </rPr>
      <t>、歲出預決算－按政事別分</t>
    </r>
    <r>
      <rPr>
        <sz val="12"/>
        <rFont val="Arial"/>
        <family val="2"/>
      </rPr>
      <t>(</t>
    </r>
    <r>
      <rPr>
        <sz val="12"/>
        <rFont val="華康粗圓體"/>
        <family val="3"/>
      </rPr>
      <t>續完</t>
    </r>
    <r>
      <rPr>
        <sz val="12"/>
        <rFont val="Arial"/>
        <family val="2"/>
      </rPr>
      <t>)</t>
    </r>
  </si>
  <si>
    <t>金融財稅</t>
  </si>
  <si>
    <t>Fiscal Year</t>
  </si>
  <si>
    <t>Revenues &amp; Expenditure</t>
  </si>
  <si>
    <t>Sinking Fund</t>
  </si>
  <si>
    <t>Borrowing</t>
  </si>
  <si>
    <t>Surplus Previous Year</t>
  </si>
  <si>
    <t>Form have finance %</t>
  </si>
  <si>
    <t>Taxes adhere degree</t>
  </si>
  <si>
    <t>Complement adhere degree</t>
  </si>
  <si>
    <t>Occupy Budgetary Expenditures</t>
  </si>
  <si>
    <r>
      <t xml:space="preserve">八十七年度
</t>
    </r>
    <r>
      <rPr>
        <sz val="9"/>
        <rFont val="Arial Narrow"/>
        <family val="2"/>
      </rPr>
      <t>1998</t>
    </r>
  </si>
  <si>
    <r>
      <t xml:space="preserve">八十八年度
</t>
    </r>
    <r>
      <rPr>
        <sz val="9"/>
        <rFont val="Arial Narrow"/>
        <family val="2"/>
      </rPr>
      <t>1999</t>
    </r>
  </si>
  <si>
    <r>
      <t xml:space="preserve">九十一年度
</t>
    </r>
    <r>
      <rPr>
        <sz val="9"/>
        <rFont val="Arial Narrow"/>
        <family val="2"/>
      </rPr>
      <t>2002</t>
    </r>
  </si>
  <si>
    <t>－</t>
  </si>
  <si>
    <r>
      <t>八十四年度</t>
    </r>
    <r>
      <rPr>
        <sz val="9"/>
        <rFont val="Arial Narrow"/>
        <family val="2"/>
      </rPr>
      <t>1995</t>
    </r>
  </si>
  <si>
    <r>
      <t>八十五年度</t>
    </r>
    <r>
      <rPr>
        <sz val="9"/>
        <rFont val="Arial Narrow"/>
        <family val="2"/>
      </rPr>
      <t>1996</t>
    </r>
  </si>
  <si>
    <r>
      <t>八十六年度</t>
    </r>
    <r>
      <rPr>
        <sz val="9"/>
        <rFont val="Arial Narrow"/>
        <family val="2"/>
      </rPr>
      <t>1997</t>
    </r>
  </si>
  <si>
    <r>
      <t>八十七年度</t>
    </r>
    <r>
      <rPr>
        <sz val="9"/>
        <rFont val="Arial Narrow"/>
        <family val="2"/>
      </rPr>
      <t>1998</t>
    </r>
  </si>
  <si>
    <r>
      <t>八十八年度</t>
    </r>
    <r>
      <rPr>
        <sz val="9"/>
        <rFont val="Arial Narrow"/>
        <family val="2"/>
      </rPr>
      <t>1999</t>
    </r>
  </si>
  <si>
    <r>
      <t>九十一年度</t>
    </r>
    <r>
      <rPr>
        <sz val="9"/>
        <rFont val="Arial Narrow"/>
        <family val="2"/>
      </rPr>
      <t>2002</t>
    </r>
  </si>
  <si>
    <r>
      <t>九十二年度</t>
    </r>
    <r>
      <rPr>
        <sz val="9"/>
        <rFont val="Arial Narrow"/>
        <family val="2"/>
      </rPr>
      <t>2003</t>
    </r>
  </si>
  <si>
    <t>Banking, Finance and Taxation</t>
  </si>
  <si>
    <t>本國銀行</t>
  </si>
  <si>
    <t>外國銀行
在華分行</t>
  </si>
  <si>
    <t>信託投資
公　　司</t>
  </si>
  <si>
    <t>基層金融
機　　構</t>
  </si>
  <si>
    <t>郵匯局</t>
  </si>
  <si>
    <t>Domestic Banks</t>
  </si>
  <si>
    <t>Local Branches of Foreign Banks</t>
  </si>
  <si>
    <t>Investment and Trust Companies</t>
  </si>
  <si>
    <t>Local Financial
Institutions</t>
  </si>
  <si>
    <t>Postal Savings and Remittances Bureau</t>
  </si>
  <si>
    <r>
      <t xml:space="preserve">民國八十六年底
</t>
    </r>
    <r>
      <rPr>
        <sz val="9"/>
        <rFont val="Arial Narrow"/>
        <family val="2"/>
      </rPr>
      <t>End of 1997</t>
    </r>
  </si>
  <si>
    <r>
      <t>民國八十七年底</t>
    </r>
    <r>
      <rPr>
        <sz val="9"/>
        <rFont val="Arial Narrow"/>
        <family val="2"/>
      </rPr>
      <t xml:space="preserve"> End of 1998</t>
    </r>
  </si>
  <si>
    <r>
      <t>民國八十八年底</t>
    </r>
    <r>
      <rPr>
        <sz val="9"/>
        <rFont val="Arial Narrow"/>
        <family val="2"/>
      </rPr>
      <t xml:space="preserve"> End of 1999</t>
    </r>
  </si>
  <si>
    <r>
      <t>民國八十九年底</t>
    </r>
    <r>
      <rPr>
        <sz val="9"/>
        <rFont val="Arial Narrow"/>
        <family val="2"/>
      </rPr>
      <t xml:space="preserve"> End of 2000</t>
    </r>
  </si>
  <si>
    <r>
      <t>民國九　十年底</t>
    </r>
    <r>
      <rPr>
        <sz val="9"/>
        <rFont val="Arial Narrow"/>
        <family val="2"/>
      </rPr>
      <t xml:space="preserve"> End of 2001</t>
    </r>
  </si>
  <si>
    <r>
      <t>民國九十一年底</t>
    </r>
    <r>
      <rPr>
        <sz val="9"/>
        <rFont val="Arial Narrow"/>
        <family val="2"/>
      </rPr>
      <t xml:space="preserve"> End of 2002</t>
    </r>
  </si>
  <si>
    <t>Total</t>
  </si>
  <si>
    <t>－</t>
  </si>
  <si>
    <t>單位：億元</t>
  </si>
  <si>
    <r>
      <t xml:space="preserve">民　　　　國
年（月）底別
</t>
    </r>
    <r>
      <rPr>
        <sz val="9"/>
        <rFont val="Arial Narrow"/>
        <family val="2"/>
      </rPr>
      <t>End of Year (Month)</t>
    </r>
  </si>
  <si>
    <r>
      <t xml:space="preserve">存　　　款　　　餘　　　額
</t>
    </r>
    <r>
      <rPr>
        <sz val="9"/>
        <rFont val="Arial Narrow"/>
        <family val="2"/>
      </rPr>
      <t>Deposits</t>
    </r>
  </si>
  <si>
    <r>
      <t xml:space="preserve">放　　款　　餘　　額
</t>
    </r>
    <r>
      <rPr>
        <sz val="9"/>
        <rFont val="Arial Narrow"/>
        <family val="2"/>
      </rPr>
      <t>Loans</t>
    </r>
  </si>
  <si>
    <r>
      <t xml:space="preserve">六月底
</t>
    </r>
    <r>
      <rPr>
        <sz val="9"/>
        <rFont val="Arial Narrow"/>
        <family val="2"/>
      </rPr>
      <t>End of June</t>
    </r>
  </si>
  <si>
    <r>
      <t xml:space="preserve">十二月底
</t>
    </r>
    <r>
      <rPr>
        <sz val="9"/>
        <rFont val="Arial Narrow"/>
        <family val="2"/>
      </rPr>
      <t>End of December</t>
    </r>
  </si>
  <si>
    <t>年底別及
鄉鎮市區別</t>
  </si>
  <si>
    <r>
      <t>追加減後預算</t>
    </r>
    <r>
      <rPr>
        <sz val="7.5"/>
        <rFont val="Arial Narrow"/>
        <family val="2"/>
      </rPr>
      <t xml:space="preserve"> Budgets after Reapportionments</t>
    </r>
  </si>
  <si>
    <t>－</t>
  </si>
  <si>
    <t>－</t>
  </si>
  <si>
    <r>
      <t>原預算</t>
    </r>
    <r>
      <rPr>
        <sz val="7.5"/>
        <rFont val="Arial Narrow"/>
        <family val="2"/>
      </rPr>
      <t xml:space="preserve"> Original Budgets</t>
    </r>
  </si>
  <si>
    <r>
      <t xml:space="preserve">八十八年下半年及八十九年度
</t>
    </r>
    <r>
      <rPr>
        <sz val="7"/>
        <rFont val="Arial Narrow"/>
        <family val="2"/>
      </rPr>
      <t>07/01/1999~12/31/2000</t>
    </r>
  </si>
  <si>
    <t>單位：新臺幣千元</t>
  </si>
  <si>
    <t>年度別</t>
  </si>
  <si>
    <t>Fiscal Year</t>
  </si>
  <si>
    <t>Grand Total</t>
  </si>
  <si>
    <t>金融財稅</t>
  </si>
  <si>
    <t>Banking, Finance and Taxation</t>
  </si>
  <si>
    <t>－</t>
  </si>
  <si>
    <t>民國八十四年度</t>
  </si>
  <si>
    <r>
      <t xml:space="preserve">民國八十四年度
</t>
    </r>
    <r>
      <rPr>
        <sz val="9"/>
        <rFont val="Arial Narrow"/>
        <family val="2"/>
      </rPr>
      <t>1995</t>
    </r>
  </si>
  <si>
    <r>
      <t xml:space="preserve">九十三年度
</t>
    </r>
    <r>
      <rPr>
        <sz val="9"/>
        <rFont val="Arial Narrow"/>
        <family val="2"/>
      </rPr>
      <t>2004</t>
    </r>
  </si>
  <si>
    <r>
      <t>九十三年度</t>
    </r>
    <r>
      <rPr>
        <sz val="8"/>
        <rFont val="Arial Narrow"/>
        <family val="2"/>
      </rPr>
      <t>2004</t>
    </r>
  </si>
  <si>
    <t>民國八十四年度</t>
  </si>
  <si>
    <r>
      <t>資料來源：桃園縣總決算審核報告</t>
    </r>
    <r>
      <rPr>
        <sz val="9"/>
        <rFont val="Arial Narrow"/>
        <family val="2"/>
      </rPr>
      <t>(</t>
    </r>
    <r>
      <rPr>
        <sz val="9"/>
        <rFont val="超研澤中黑"/>
        <family val="3"/>
      </rPr>
      <t>九十三年為桃園縣決算書</t>
    </r>
    <r>
      <rPr>
        <sz val="9"/>
        <rFont val="Arial Narrow"/>
        <family val="2"/>
      </rPr>
      <t>)</t>
    </r>
    <r>
      <rPr>
        <sz val="9"/>
        <rFont val="超研澤中黑"/>
        <family val="3"/>
      </rPr>
      <t>。</t>
    </r>
  </si>
  <si>
    <r>
      <t>表</t>
    </r>
    <r>
      <rPr>
        <sz val="12"/>
        <rFont val="Arial"/>
        <family val="2"/>
      </rPr>
      <t>6-4</t>
    </r>
    <r>
      <rPr>
        <sz val="12"/>
        <rFont val="華康粗圓體"/>
        <family val="3"/>
      </rPr>
      <t>、歲出預決算－按政事別分</t>
    </r>
    <r>
      <rPr>
        <sz val="12"/>
        <rFont val="Arial"/>
        <family val="2"/>
      </rPr>
      <t>(</t>
    </r>
    <r>
      <rPr>
        <sz val="12"/>
        <rFont val="華康粗圓體"/>
        <family val="3"/>
      </rPr>
      <t>續一</t>
    </r>
    <r>
      <rPr>
        <sz val="12"/>
        <rFont val="Arial"/>
        <family val="2"/>
      </rPr>
      <t>)</t>
    </r>
  </si>
  <si>
    <r>
      <t>6-3</t>
    </r>
    <r>
      <rPr>
        <sz val="12"/>
        <rFont val="華康粗圓體"/>
        <family val="3"/>
      </rPr>
      <t>、</t>
    </r>
    <r>
      <rPr>
        <sz val="12"/>
        <rFont val="Arial"/>
        <family val="2"/>
      </rPr>
      <t>Budget and Settled Account of Expenditures by Administrative Affairs(Cont.1)</t>
    </r>
  </si>
  <si>
    <r>
      <t>表</t>
    </r>
    <r>
      <rPr>
        <sz val="12"/>
        <rFont val="Arial"/>
        <family val="2"/>
      </rPr>
      <t>6-8</t>
    </r>
    <r>
      <rPr>
        <sz val="12"/>
        <rFont val="華康粗圓體"/>
        <family val="3"/>
      </rPr>
      <t>、本縣公庫收支</t>
    </r>
    <r>
      <rPr>
        <sz val="12"/>
        <rFont val="Arial"/>
        <family val="2"/>
      </rPr>
      <t>(</t>
    </r>
    <r>
      <rPr>
        <sz val="12"/>
        <rFont val="華康粗圓體"/>
        <family val="3"/>
      </rPr>
      <t>續</t>
    </r>
    <r>
      <rPr>
        <sz val="12"/>
        <rFont val="Arial"/>
        <family val="2"/>
      </rPr>
      <t>)</t>
    </r>
  </si>
  <si>
    <r>
      <t>6-8</t>
    </r>
    <r>
      <rPr>
        <sz val="12"/>
        <rFont val="華康粗圓體"/>
        <family val="3"/>
      </rPr>
      <t>、</t>
    </r>
    <r>
      <rPr>
        <sz val="12"/>
        <rFont val="Arial"/>
        <family val="2"/>
      </rPr>
      <t>Expenditures of Hsien Treasuy(Cont.)</t>
    </r>
  </si>
  <si>
    <t>Unit : N.T.$100,000,000</t>
  </si>
  <si>
    <t>備　　註：九十三年起基層金融機構不含農漁會資料。</t>
  </si>
  <si>
    <r>
      <t>民國九十二年底</t>
    </r>
    <r>
      <rPr>
        <sz val="9"/>
        <rFont val="Arial Narrow"/>
        <family val="2"/>
      </rPr>
      <t xml:space="preserve"> End of 2003</t>
    </r>
  </si>
  <si>
    <r>
      <t>民國九十三年底</t>
    </r>
    <r>
      <rPr>
        <sz val="9"/>
        <rFont val="Arial Narrow"/>
        <family val="2"/>
      </rPr>
      <t xml:space="preserve"> End of 2004</t>
    </r>
  </si>
  <si>
    <r>
      <t>表</t>
    </r>
    <r>
      <rPr>
        <sz val="12"/>
        <rFont val="Arial"/>
        <family val="2"/>
      </rPr>
      <t>6-1</t>
    </r>
    <r>
      <rPr>
        <sz val="12"/>
        <rFont val="華康粗圓體"/>
        <family val="3"/>
      </rPr>
      <t xml:space="preserve">、主要金融機構存、放款餘額
</t>
    </r>
    <r>
      <rPr>
        <sz val="12"/>
        <rFont val="Arial"/>
        <family val="2"/>
      </rPr>
      <t>6-1</t>
    </r>
    <r>
      <rPr>
        <sz val="12"/>
        <rFont val="華康粗圓體"/>
        <family val="3"/>
      </rPr>
      <t>、</t>
    </r>
    <r>
      <rPr>
        <sz val="12"/>
        <rFont val="Arial"/>
        <family val="2"/>
      </rPr>
      <t>Deposits and Loans of Principal Financial Institutions</t>
    </r>
  </si>
  <si>
    <t>資料來源：中央銀行</t>
  </si>
  <si>
    <r>
      <t>Source</t>
    </r>
    <r>
      <rPr>
        <sz val="9.5"/>
        <rFont val="超研澤中黑"/>
        <family val="3"/>
      </rPr>
      <t>：</t>
    </r>
    <r>
      <rPr>
        <sz val="9.5"/>
        <rFont val="Arial Narrow"/>
        <family val="2"/>
      </rPr>
      <t>Central Bank</t>
    </r>
  </si>
  <si>
    <t>Banking, Finance and Taxation</t>
  </si>
  <si>
    <r>
      <t>　　　</t>
    </r>
    <r>
      <rPr>
        <sz val="8.5"/>
        <rFont val="Arial Narrow"/>
        <family val="2"/>
      </rPr>
      <t>2. Central Bank, Central Deposit Insurance Corporation and credit card companies do not count.</t>
    </r>
  </si>
  <si>
    <r>
      <t>　　　</t>
    </r>
    <r>
      <rPr>
        <sz val="8.5"/>
        <rFont val="Arial Narrow"/>
        <family val="2"/>
      </rPr>
      <t>3. Domestic banks and insurance companies excluding branches of the Mail Remittance Bureau.</t>
    </r>
  </si>
  <si>
    <r>
      <t>　　　</t>
    </r>
    <r>
      <rPr>
        <sz val="8.5"/>
        <rFont val="Arial Narrow"/>
        <family val="2"/>
      </rPr>
      <t>4. Property insurance credit unions count as domestic property insurance companies.</t>
    </r>
  </si>
  <si>
    <r>
      <t>　　　</t>
    </r>
    <r>
      <rPr>
        <sz val="8.5"/>
        <rFont val="Arial Narrow"/>
        <family val="2"/>
      </rPr>
      <t>5. Foreign banks, life insurance companies, property insurance companies and the head offices of foreign banks' Taiwan</t>
    </r>
  </si>
  <si>
    <r>
      <t>　　　</t>
    </r>
    <r>
      <rPr>
        <sz val="8.5"/>
        <rFont val="Arial Narrow"/>
        <family val="2"/>
      </rPr>
      <t>6. If the subsidiaries and affiliated companies of financial holding companies are financial institutions, they are included in their</t>
    </r>
  </si>
  <si>
    <r>
      <t>　　　</t>
    </r>
    <r>
      <rPr>
        <sz val="8.5"/>
        <rFont val="Arial Narrow"/>
        <family val="2"/>
      </rPr>
      <t>7. The 2000 data include the first four months of 2001.</t>
    </r>
  </si>
  <si>
    <r>
      <t>　　　</t>
    </r>
    <r>
      <rPr>
        <sz val="8.5"/>
        <rFont val="Arial Narrow"/>
        <family val="2"/>
      </rPr>
      <t xml:space="preserve">    representatives' offices do not count.</t>
    </r>
  </si>
  <si>
    <r>
      <t>　　　</t>
    </r>
    <r>
      <rPr>
        <sz val="8.5"/>
        <rFont val="Arial Narrow"/>
        <family val="2"/>
      </rPr>
      <t xml:space="preserve">    respective financial institutions.</t>
    </r>
  </si>
  <si>
    <t>－</t>
  </si>
  <si>
    <t>總計</t>
  </si>
  <si>
    <t>本國銀行</t>
  </si>
  <si>
    <t>外國銀行
在華分行</t>
  </si>
  <si>
    <t>信託投資
公　　司</t>
  </si>
  <si>
    <t>信　用
合作社</t>
  </si>
  <si>
    <t>農會信用部</t>
  </si>
  <si>
    <t>漁會信用部</t>
  </si>
  <si>
    <t>票券金融
公　　司</t>
  </si>
  <si>
    <t>證券金融
公　　司</t>
  </si>
  <si>
    <t>本國壽險
公　　司</t>
  </si>
  <si>
    <t>本國產險
公　　司</t>
  </si>
  <si>
    <t>外國壽險
公　　司</t>
  </si>
  <si>
    <t>外國產險
公　　司</t>
  </si>
  <si>
    <t>再保險公司</t>
  </si>
  <si>
    <t>End of Year &amp;
 Township/District</t>
  </si>
  <si>
    <t>Total</t>
  </si>
  <si>
    <t>Domestic Banks</t>
  </si>
  <si>
    <t>Local Branches of Foreign Banks</t>
  </si>
  <si>
    <t>Investment and Trust Companies</t>
  </si>
  <si>
    <t>Credit Cooper-atives</t>
  </si>
  <si>
    <t>Credit Dept. of Farmer's Associations</t>
  </si>
  <si>
    <t>Credit Dept. of Fishermen's Associations</t>
  </si>
  <si>
    <t>Bills Finance Companies</t>
  </si>
  <si>
    <t>Securities Finance Companies</t>
  </si>
  <si>
    <t>Domestic Life
Insurance Companies</t>
  </si>
  <si>
    <t>Domestic Property &amp; Casualty Insurance Companies</t>
  </si>
  <si>
    <t>Foreign Life Insurance Companies</t>
  </si>
  <si>
    <t>Foreign Property &amp; Casualty Insurance Companies</t>
  </si>
  <si>
    <t>Reinsurance Companies</t>
  </si>
  <si>
    <r>
      <t>民國八十四年底</t>
    </r>
    <r>
      <rPr>
        <sz val="8.5"/>
        <rFont val="Arial Narrow"/>
        <family val="2"/>
      </rPr>
      <t xml:space="preserve"> End of 1995</t>
    </r>
  </si>
  <si>
    <r>
      <t>民國九十二年底</t>
    </r>
    <r>
      <rPr>
        <sz val="8.5"/>
        <rFont val="Arial Narrow"/>
        <family val="2"/>
      </rPr>
      <t xml:space="preserve"> End of 2003</t>
    </r>
  </si>
  <si>
    <r>
      <t>民國九十三年底</t>
    </r>
    <r>
      <rPr>
        <sz val="8.5"/>
        <rFont val="Arial Narrow"/>
        <family val="2"/>
      </rPr>
      <t xml:space="preserve"> End of 2004</t>
    </r>
  </si>
  <si>
    <r>
      <t>表</t>
    </r>
    <r>
      <rPr>
        <sz val="12"/>
        <rFont val="Arial"/>
        <family val="2"/>
      </rPr>
      <t>6-2</t>
    </r>
    <r>
      <rPr>
        <sz val="12"/>
        <rFont val="華康粗圓體"/>
        <family val="3"/>
      </rPr>
      <t>、金融機構分佈</t>
    </r>
  </si>
  <si>
    <r>
      <t>6-2</t>
    </r>
    <r>
      <rPr>
        <sz val="12"/>
        <rFont val="華康粗圓體"/>
        <family val="3"/>
      </rPr>
      <t>、</t>
    </r>
    <r>
      <rPr>
        <sz val="12"/>
        <rFont val="Arial"/>
        <family val="2"/>
      </rPr>
      <t>Distribution of Principal Banks</t>
    </r>
  </si>
  <si>
    <t>資料來源：中央銀行</t>
  </si>
  <si>
    <t>金融財稅</t>
  </si>
  <si>
    <t>Banking, Finance and Taxation</t>
  </si>
  <si>
    <r>
      <t>罰</t>
    </r>
    <r>
      <rPr>
        <sz val="8"/>
        <rFont val="Arial Narrow"/>
        <family val="2"/>
      </rPr>
      <t xml:space="preserve">  </t>
    </r>
    <r>
      <rPr>
        <sz val="8"/>
        <rFont val="華康粗圓體"/>
        <family val="3"/>
      </rPr>
      <t>款</t>
    </r>
    <r>
      <rPr>
        <sz val="8"/>
        <rFont val="Arial Narrow"/>
        <family val="2"/>
      </rPr>
      <t xml:space="preserve">  </t>
    </r>
    <r>
      <rPr>
        <sz val="8"/>
        <rFont val="華康粗圓體"/>
        <family val="3"/>
      </rPr>
      <t>及
賠償收入</t>
    </r>
  </si>
  <si>
    <r>
      <t>營業盈餘及
事</t>
    </r>
    <r>
      <rPr>
        <sz val="8"/>
        <rFont val="Arial Narrow"/>
        <family val="2"/>
      </rPr>
      <t xml:space="preserve"> </t>
    </r>
    <r>
      <rPr>
        <sz val="8"/>
        <rFont val="華康粗圓體"/>
        <family val="3"/>
      </rPr>
      <t>業</t>
    </r>
    <r>
      <rPr>
        <sz val="8"/>
        <rFont val="Arial Narrow"/>
        <family val="2"/>
      </rPr>
      <t xml:space="preserve"> </t>
    </r>
    <r>
      <rPr>
        <sz val="8"/>
        <rFont val="華康粗圓體"/>
        <family val="3"/>
      </rPr>
      <t>收</t>
    </r>
    <r>
      <rPr>
        <sz val="8"/>
        <rFont val="Arial Narrow"/>
        <family val="2"/>
      </rPr>
      <t xml:space="preserve"> </t>
    </r>
    <r>
      <rPr>
        <sz val="8"/>
        <rFont val="華康粗圓體"/>
        <family val="3"/>
      </rPr>
      <t>入</t>
    </r>
  </si>
  <si>
    <r>
      <t>補</t>
    </r>
    <r>
      <rPr>
        <sz val="8"/>
        <rFont val="Arial Narrow"/>
        <family val="2"/>
      </rPr>
      <t xml:space="preserve">  </t>
    </r>
    <r>
      <rPr>
        <sz val="8"/>
        <rFont val="華康粗圓體"/>
        <family val="3"/>
      </rPr>
      <t>助</t>
    </r>
    <r>
      <rPr>
        <sz val="8"/>
        <rFont val="Arial Narrow"/>
        <family val="2"/>
      </rPr>
      <t xml:space="preserve">  </t>
    </r>
    <r>
      <rPr>
        <sz val="8"/>
        <rFont val="華康粗圓體"/>
        <family val="3"/>
      </rPr>
      <t>及
協助收入</t>
    </r>
  </si>
  <si>
    <r>
      <t>捐</t>
    </r>
    <r>
      <rPr>
        <sz val="8"/>
        <rFont val="Arial Narrow"/>
        <family val="2"/>
      </rPr>
      <t xml:space="preserve">  </t>
    </r>
    <r>
      <rPr>
        <sz val="8"/>
        <rFont val="華康粗圓體"/>
        <family val="3"/>
      </rPr>
      <t>獻</t>
    </r>
    <r>
      <rPr>
        <sz val="8"/>
        <rFont val="Arial Narrow"/>
        <family val="2"/>
      </rPr>
      <t xml:space="preserve">  </t>
    </r>
    <r>
      <rPr>
        <sz val="8"/>
        <rFont val="華康粗圓體"/>
        <family val="3"/>
      </rPr>
      <t>及
贈與收入</t>
    </r>
  </si>
  <si>
    <r>
      <t>原預算</t>
    </r>
    <r>
      <rPr>
        <sz val="7.5"/>
        <rFont val="Arial Narrow"/>
        <family val="2"/>
      </rPr>
      <t xml:space="preserve"> Original Budgets</t>
    </r>
  </si>
  <si>
    <r>
      <t xml:space="preserve">    </t>
    </r>
    <r>
      <rPr>
        <sz val="8"/>
        <rFont val="華康粗圓體"/>
        <family val="3"/>
      </rPr>
      <t>八十五年度</t>
    </r>
  </si>
  <si>
    <r>
      <t xml:space="preserve">    </t>
    </r>
    <r>
      <rPr>
        <sz val="8"/>
        <rFont val="華康粗圓體"/>
        <family val="3"/>
      </rPr>
      <t>八十六年度</t>
    </r>
  </si>
  <si>
    <r>
      <t xml:space="preserve">    </t>
    </r>
    <r>
      <rPr>
        <sz val="8"/>
        <rFont val="華康粗圓體"/>
        <family val="3"/>
      </rPr>
      <t>八十七年度</t>
    </r>
  </si>
  <si>
    <r>
      <t xml:space="preserve">    </t>
    </r>
    <r>
      <rPr>
        <sz val="8"/>
        <rFont val="華康粗圓體"/>
        <family val="3"/>
      </rPr>
      <t>八十八年度</t>
    </r>
  </si>
  <si>
    <r>
      <t xml:space="preserve">    </t>
    </r>
    <r>
      <rPr>
        <sz val="8"/>
        <rFont val="華康粗圓體"/>
        <family val="3"/>
      </rPr>
      <t>九</t>
    </r>
    <r>
      <rPr>
        <sz val="8"/>
        <rFont val="Arial Narrow"/>
        <family val="2"/>
      </rPr>
      <t xml:space="preserve">  </t>
    </r>
    <r>
      <rPr>
        <sz val="8"/>
        <rFont val="華康粗圓體"/>
        <family val="3"/>
      </rPr>
      <t>十年度</t>
    </r>
  </si>
  <si>
    <r>
      <t xml:space="preserve">    </t>
    </r>
    <r>
      <rPr>
        <sz val="8"/>
        <rFont val="華康粗圓體"/>
        <family val="3"/>
      </rPr>
      <t>九十一年度</t>
    </r>
  </si>
  <si>
    <r>
      <t xml:space="preserve">    </t>
    </r>
    <r>
      <rPr>
        <sz val="8"/>
        <rFont val="華康粗圓體"/>
        <family val="3"/>
      </rPr>
      <t>九十二年度</t>
    </r>
  </si>
  <si>
    <r>
      <t xml:space="preserve">    </t>
    </r>
    <r>
      <rPr>
        <sz val="8"/>
        <rFont val="華康粗圓體"/>
        <family val="3"/>
      </rPr>
      <t>九十三年度</t>
    </r>
  </si>
  <si>
    <r>
      <t xml:space="preserve">    </t>
    </r>
    <r>
      <rPr>
        <sz val="8"/>
        <rFont val="華康粗圓體"/>
        <family val="3"/>
      </rPr>
      <t>九十四年度</t>
    </r>
  </si>
  <si>
    <r>
      <t>表</t>
    </r>
    <r>
      <rPr>
        <sz val="12"/>
        <rFont val="Arial"/>
        <family val="2"/>
      </rPr>
      <t>6-3</t>
    </r>
    <r>
      <rPr>
        <sz val="12"/>
        <rFont val="華康粗圓體"/>
        <family val="3"/>
      </rPr>
      <t>、歲入預決算－按來源別分</t>
    </r>
  </si>
  <si>
    <r>
      <t>6-3</t>
    </r>
    <r>
      <rPr>
        <sz val="12"/>
        <rFont val="華康粗圓體"/>
        <family val="3"/>
      </rPr>
      <t>、</t>
    </r>
    <r>
      <rPr>
        <sz val="12"/>
        <rFont val="Arial"/>
        <family val="2"/>
      </rPr>
      <t>Budget and Settled Account of Revenues  by Respires</t>
    </r>
  </si>
  <si>
    <t>　預　　算　</t>
  </si>
  <si>
    <t>Budget</t>
  </si>
  <si>
    <t>資料來源：桃園縣總預算、桃園縣總預算追加減預算案。</t>
  </si>
  <si>
    <t>金融財稅</t>
  </si>
  <si>
    <t>Banking, Finance and Taxation</t>
  </si>
  <si>
    <r>
      <t>Source</t>
    </r>
    <r>
      <rPr>
        <sz val="8"/>
        <rFont val="超研澤中黑"/>
        <family val="3"/>
      </rPr>
      <t>：</t>
    </r>
    <r>
      <rPr>
        <sz val="8"/>
        <rFont val="Arial Narrow"/>
        <family val="2"/>
      </rPr>
      <t>Taoyuan County general budget and reapportionments.</t>
    </r>
  </si>
  <si>
    <r>
      <t>Unit</t>
    </r>
    <r>
      <rPr>
        <sz val="8"/>
        <rFont val="超研澤中黑"/>
        <family val="3"/>
      </rPr>
      <t>：</t>
    </r>
    <r>
      <rPr>
        <sz val="8"/>
        <rFont val="Arial Narrow"/>
        <family val="2"/>
      </rPr>
      <t>NT$1,000</t>
    </r>
  </si>
  <si>
    <t>年　　度　　別</t>
  </si>
  <si>
    <t>以前年度
支　　出</t>
  </si>
  <si>
    <r>
      <t>預</t>
    </r>
    <r>
      <rPr>
        <sz val="8"/>
        <rFont val="Arial Narrow"/>
        <family val="2"/>
      </rPr>
      <t xml:space="preserve">  </t>
    </r>
    <r>
      <rPr>
        <sz val="8"/>
        <rFont val="華康粗圓體"/>
        <family val="3"/>
      </rPr>
      <t>算</t>
    </r>
    <r>
      <rPr>
        <sz val="8"/>
        <rFont val="Arial Narrow"/>
        <family val="2"/>
      </rPr>
      <t xml:space="preserve">  </t>
    </r>
    <r>
      <rPr>
        <sz val="8"/>
        <rFont val="華康粗圓體"/>
        <family val="3"/>
      </rPr>
      <t>外
支　　出</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</si>
</sst>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_);\(0\)"/>
    <numFmt numFmtId="214" formatCode="#,##0.0;[Red]#,##0.0"/>
    <numFmt numFmtId="215" formatCode="_-* #\ ###\ ##0_-;\-* #,##0_-;_-* &quot;-&quot;_-;_-@_-"/>
    <numFmt numFmtId="216" formatCode="#,##0.000;[Red]#,##0.000"/>
    <numFmt numFmtId="217" formatCode="#\ ###\ ##0"/>
    <numFmt numFmtId="218" formatCode="#,##0;\-#,##0;&quot;-&quot;"/>
    <numFmt numFmtId="219" formatCode="0;[Red]0"/>
  </numFmts>
  <fonts count="34">
    <font>
      <sz val="12"/>
      <name val="新細明體"/>
      <family val="1"/>
    </font>
    <font>
      <sz val="12"/>
      <name val="華康粗圓體"/>
      <family val="3"/>
    </font>
    <font>
      <sz val="9"/>
      <name val="新細明體"/>
      <family val="1"/>
    </font>
    <font>
      <sz val="9"/>
      <name val="超研澤中黑"/>
      <family val="3"/>
    </font>
    <font>
      <sz val="9"/>
      <name val="Arial Narrow"/>
      <family val="2"/>
    </font>
    <font>
      <sz val="9"/>
      <name val="細明體"/>
      <family val="3"/>
    </font>
    <font>
      <sz val="9.5"/>
      <name val="Times New Roman"/>
      <family val="1"/>
    </font>
    <font>
      <sz val="12"/>
      <name val="Arial"/>
      <family val="2"/>
    </font>
    <font>
      <sz val="8"/>
      <name val="Arial Narrow"/>
      <family val="2"/>
    </font>
    <font>
      <sz val="8"/>
      <name val="超研澤中黑"/>
      <family val="3"/>
    </font>
    <font>
      <sz val="8.5"/>
      <name val="超研澤中黑"/>
      <family val="3"/>
    </font>
    <font>
      <sz val="8.5"/>
      <name val="Arial Narrow"/>
      <family val="2"/>
    </font>
    <font>
      <sz val="10"/>
      <name val="Times New Roman"/>
      <family val="1"/>
    </font>
    <font>
      <b/>
      <sz val="12"/>
      <name val="Times"/>
      <family val="1"/>
    </font>
    <font>
      <b/>
      <sz val="9"/>
      <name val="Arial Narrow"/>
      <family val="2"/>
    </font>
    <font>
      <sz val="9"/>
      <name val="Times New Roman"/>
      <family val="1"/>
    </font>
    <font>
      <sz val="12"/>
      <name val="Times New Roman"/>
      <family val="1"/>
    </font>
    <font>
      <sz val="7.5"/>
      <name val="Times New Roman"/>
      <family val="1"/>
    </font>
    <font>
      <sz val="9.5"/>
      <name val="Arial"/>
      <family val="2"/>
    </font>
    <font>
      <sz val="8.5"/>
      <name val="Times New Roman"/>
      <family val="1"/>
    </font>
    <font>
      <sz val="9"/>
      <color indexed="8"/>
      <name val="Arial Narrow"/>
      <family val="2"/>
    </font>
    <font>
      <sz val="9.5"/>
      <name val="Arial Narrow"/>
      <family val="2"/>
    </font>
    <font>
      <sz val="7.5"/>
      <name val="Arial Narrow"/>
      <family val="2"/>
    </font>
    <font>
      <sz val="7"/>
      <name val="Arial Narrow"/>
      <family val="2"/>
    </font>
    <font>
      <b/>
      <sz val="9"/>
      <name val="新細明體"/>
      <family val="1"/>
    </font>
    <font>
      <sz val="9"/>
      <name val="華康粗圓體"/>
      <family val="3"/>
    </font>
    <font>
      <sz val="8"/>
      <name val="華康粗圓體"/>
      <family val="3"/>
    </font>
    <font>
      <sz val="9.5"/>
      <name val="超研澤中黑"/>
      <family val="3"/>
    </font>
    <font>
      <sz val="8.5"/>
      <name val="華康粗圓體"/>
      <family val="3"/>
    </font>
    <font>
      <sz val="7.5"/>
      <name val="華康粗圓體"/>
      <family val="3"/>
    </font>
    <font>
      <sz val="9"/>
      <color indexed="8"/>
      <name val="華康粗圓體"/>
      <family val="3"/>
    </font>
    <font>
      <sz val="11.5"/>
      <name val="Arial"/>
      <family val="2"/>
    </font>
    <font>
      <sz val="11.5"/>
      <name val="華康粗圓體"/>
      <family val="3"/>
    </font>
    <font>
      <b/>
      <sz val="8"/>
      <name val="新細明體"/>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color indexed="63"/>
      </left>
      <right style="thin"/>
      <top style="medium"/>
      <bottom>
        <color indexed="63"/>
      </bottom>
    </border>
    <border>
      <left style="medium"/>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style="thin"/>
      <right>
        <color indexed="63"/>
      </right>
      <top style="medium"/>
      <bottom style="thin"/>
    </border>
    <border>
      <left style="medium"/>
      <right>
        <color indexed="63"/>
      </right>
      <top style="medium"/>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ont="0" applyBorder="0" applyAlignment="0">
      <protection/>
    </xf>
    <xf numFmtId="38" fontId="16" fillId="0" borderId="0" applyBorder="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1">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5">
    <xf numFmtId="0" fontId="0" fillId="0" borderId="0" xfId="0" applyAlignment="1">
      <alignment/>
    </xf>
    <xf numFmtId="0" fontId="3" fillId="0" borderId="0" xfId="0" applyFont="1" applyAlignment="1">
      <alignment horizontal="right" vertical="center"/>
    </xf>
    <xf numFmtId="0" fontId="4" fillId="0" borderId="0" xfId="0" applyFont="1" applyBorder="1" applyAlignment="1">
      <alignment horizontal="center" vertical="center"/>
    </xf>
    <xf numFmtId="179" fontId="4" fillId="0" borderId="2" xfId="0" applyNumberFormat="1" applyFont="1" applyBorder="1" applyAlignment="1">
      <alignment horizontal="right" vertical="center"/>
    </xf>
    <xf numFmtId="179" fontId="4" fillId="0" borderId="3" xfId="0" applyNumberFormat="1" applyFont="1" applyBorder="1" applyAlignment="1">
      <alignment horizontal="right" vertical="center"/>
    </xf>
    <xf numFmtId="179" fontId="4" fillId="0" borderId="4" xfId="0" applyNumberFormat="1"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horizontal="center" vertical="center"/>
    </xf>
    <xf numFmtId="179" fontId="4" fillId="0" borderId="6"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1" xfId="0" applyNumberFormat="1" applyFont="1" applyBorder="1" applyAlignment="1">
      <alignment horizontal="right" vertical="center"/>
    </xf>
    <xf numFmtId="179" fontId="4" fillId="0" borderId="8" xfId="0" applyNumberFormat="1" applyFont="1" applyBorder="1" applyAlignment="1">
      <alignment horizontal="right" vertical="center"/>
    </xf>
    <xf numFmtId="0" fontId="3" fillId="0" borderId="0" xfId="0" applyFont="1" applyAlignment="1">
      <alignment horizontal="left" vertical="center"/>
    </xf>
    <xf numFmtId="0" fontId="4" fillId="0" borderId="8"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179" fontId="4" fillId="0" borderId="0" xfId="0" applyNumberFormat="1" applyFont="1" applyBorder="1" applyAlignment="1">
      <alignment horizontal="right" vertical="center"/>
    </xf>
    <xf numFmtId="0" fontId="7" fillId="0" borderId="0" xfId="0" applyFont="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xf>
    <xf numFmtId="0" fontId="3" fillId="0" borderId="0" xfId="0" applyFont="1" applyAlignment="1">
      <alignment vertical="center"/>
    </xf>
    <xf numFmtId="0" fontId="3" fillId="0" borderId="5" xfId="0" applyFont="1" applyBorder="1" applyAlignment="1">
      <alignment horizontal="right" vertical="center"/>
    </xf>
    <xf numFmtId="0" fontId="4" fillId="0" borderId="0" xfId="0" applyFont="1" applyAlignment="1">
      <alignment vertical="center"/>
    </xf>
    <xf numFmtId="0" fontId="4" fillId="0" borderId="5" xfId="0" applyFont="1" applyBorder="1" applyAlignment="1">
      <alignment horizontal="right" vertical="center"/>
    </xf>
    <xf numFmtId="0" fontId="4" fillId="0" borderId="0" xfId="0" applyFont="1" applyAlignment="1">
      <alignment horizontal="left" vertical="center"/>
    </xf>
    <xf numFmtId="0" fontId="4" fillId="0" borderId="5" xfId="0" applyFont="1" applyBorder="1" applyAlignment="1">
      <alignment horizontal="center" vertical="center" wrapText="1"/>
    </xf>
    <xf numFmtId="179" fontId="4" fillId="0" borderId="9" xfId="0" applyNumberFormat="1" applyFont="1" applyBorder="1" applyAlignment="1">
      <alignment horizontal="right" vertical="center"/>
    </xf>
    <xf numFmtId="0" fontId="8" fillId="0" borderId="0" xfId="0" applyFont="1" applyBorder="1" applyAlignment="1">
      <alignment horizontal="right" vertical="center"/>
    </xf>
    <xf numFmtId="179" fontId="8" fillId="0" borderId="0" xfId="0" applyNumberFormat="1" applyFont="1" applyBorder="1" applyAlignment="1">
      <alignment horizontal="right"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179" fontId="4" fillId="0" borderId="10" xfId="0" applyNumberFormat="1" applyFont="1" applyBorder="1" applyAlignment="1">
      <alignment horizontal="right" vertical="center"/>
    </xf>
    <xf numFmtId="179" fontId="4" fillId="0" borderId="5" xfId="0" applyNumberFormat="1" applyFont="1" applyBorder="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179" fontId="4" fillId="0" borderId="3" xfId="0" applyNumberFormat="1" applyFont="1" applyBorder="1" applyAlignment="1">
      <alignment vertical="center"/>
    </xf>
    <xf numFmtId="0" fontId="8" fillId="0" borderId="5" xfId="0" applyFont="1" applyBorder="1" applyAlignment="1">
      <alignment horizontal="right" vertical="center"/>
    </xf>
    <xf numFmtId="0" fontId="4" fillId="0" borderId="5" xfId="0" applyFont="1" applyBorder="1" applyAlignment="1">
      <alignment vertical="center"/>
    </xf>
    <xf numFmtId="0" fontId="4" fillId="0" borderId="11" xfId="0" applyFont="1" applyBorder="1" applyAlignment="1">
      <alignment horizontal="center" vertical="center"/>
    </xf>
    <xf numFmtId="0" fontId="7" fillId="0" borderId="0" xfId="0" applyFont="1" applyAlignment="1">
      <alignment vertical="center"/>
    </xf>
    <xf numFmtId="0" fontId="9" fillId="0" borderId="5" xfId="0" applyFont="1" applyBorder="1" applyAlignment="1">
      <alignment horizontal="right" vertical="center"/>
    </xf>
    <xf numFmtId="0" fontId="8"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8" fillId="0" borderId="11" xfId="0" applyFont="1" applyBorder="1" applyAlignment="1">
      <alignment horizontal="center" vertical="center" wrapText="1"/>
    </xf>
    <xf numFmtId="0" fontId="4" fillId="0" borderId="0" xfId="0" applyFont="1" applyAlignment="1">
      <alignment horizontal="right" vertical="center"/>
    </xf>
    <xf numFmtId="0" fontId="1" fillId="0" borderId="0" xfId="0" applyFont="1" applyAlignment="1">
      <alignment horizontal="center" vertical="center"/>
    </xf>
    <xf numFmtId="179" fontId="4" fillId="0" borderId="3" xfId="0" applyNumberFormat="1" applyFont="1" applyBorder="1" applyAlignment="1" quotePrefix="1">
      <alignment horizontal="righ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5" xfId="0" applyFont="1" applyBorder="1" applyAlignment="1">
      <alignment horizontal="center" vertical="center"/>
    </xf>
    <xf numFmtId="179" fontId="11" fillId="0" borderId="5" xfId="0" applyNumberFormat="1" applyFont="1" applyBorder="1" applyAlignment="1">
      <alignment horizontal="right" vertical="center"/>
    </xf>
    <xf numFmtId="179" fontId="11" fillId="0" borderId="0" xfId="0" applyNumberFormat="1" applyFont="1" applyBorder="1" applyAlignment="1">
      <alignment horizontal="right" vertical="center"/>
    </xf>
    <xf numFmtId="0" fontId="10" fillId="0" borderId="5" xfId="0" applyFont="1" applyBorder="1" applyAlignment="1">
      <alignment horizontal="right" vertical="center"/>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179" fontId="11" fillId="0" borderId="2" xfId="0" applyNumberFormat="1" applyFont="1" applyBorder="1" applyAlignment="1" quotePrefix="1">
      <alignment horizontal="right" vertical="center"/>
    </xf>
    <xf numFmtId="179" fontId="11" fillId="0" borderId="3" xfId="0" applyNumberFormat="1" applyFont="1" applyBorder="1" applyAlignment="1" quotePrefix="1">
      <alignment horizontal="right" vertical="center"/>
    </xf>
    <xf numFmtId="179" fontId="11" fillId="0" borderId="3" xfId="0" applyNumberFormat="1" applyFont="1" applyBorder="1" applyAlignment="1">
      <alignment horizontal="right" vertical="center"/>
    </xf>
    <xf numFmtId="179" fontId="11" fillId="0" borderId="1" xfId="0" applyNumberFormat="1" applyFont="1" applyBorder="1" applyAlignment="1">
      <alignment horizontal="right" vertical="center"/>
    </xf>
    <xf numFmtId="0" fontId="11" fillId="0" borderId="5" xfId="0" applyFont="1" applyBorder="1" applyAlignment="1">
      <alignment horizontal="right" vertical="center"/>
    </xf>
    <xf numFmtId="0" fontId="3" fillId="0" borderId="0" xfId="15" applyFont="1" applyBorder="1" applyAlignment="1">
      <alignment horizontal="left" vertical="center"/>
      <protection/>
    </xf>
    <xf numFmtId="0" fontId="4" fillId="0" borderId="0" xfId="17" applyFont="1" applyBorder="1" applyAlignment="1">
      <alignment vertical="center"/>
      <protection/>
    </xf>
    <xf numFmtId="217" fontId="14" fillId="0" borderId="0" xfId="20" applyNumberFormat="1" applyFont="1" applyBorder="1" applyAlignment="1">
      <alignment vertical="center"/>
      <protection/>
    </xf>
    <xf numFmtId="0" fontId="4" fillId="0" borderId="0" xfId="15" applyFont="1" applyBorder="1" applyAlignment="1">
      <alignment horizontal="right" vertical="center" wrapText="1"/>
      <protection/>
    </xf>
    <xf numFmtId="217" fontId="4" fillId="0" borderId="0" xfId="15" applyNumberFormat="1" applyFont="1" applyBorder="1" applyAlignment="1">
      <alignment vertical="center"/>
      <protection/>
    </xf>
    <xf numFmtId="2" fontId="4" fillId="0" borderId="0" xfId="0" applyNumberFormat="1" applyFont="1" applyBorder="1" applyAlignment="1">
      <alignment vertical="center"/>
    </xf>
    <xf numFmtId="179" fontId="4" fillId="0" borderId="14" xfId="20" applyNumberFormat="1" applyFont="1" applyBorder="1" applyAlignment="1">
      <alignment horizontal="right" vertical="center"/>
      <protection/>
    </xf>
    <xf numFmtId="179" fontId="4" fillId="0" borderId="10" xfId="20" applyNumberFormat="1" applyFont="1" applyBorder="1" applyAlignment="1">
      <alignment horizontal="right" vertical="center"/>
      <protection/>
    </xf>
    <xf numFmtId="179" fontId="4" fillId="0" borderId="10" xfId="17" applyNumberFormat="1" applyFont="1" applyBorder="1" applyAlignment="1">
      <alignment vertical="center"/>
      <protection/>
    </xf>
    <xf numFmtId="179" fontId="4" fillId="0" borderId="15" xfId="17" applyNumberFormat="1" applyFont="1" applyBorder="1" applyAlignment="1">
      <alignment vertical="center"/>
      <protection/>
    </xf>
    <xf numFmtId="179" fontId="4" fillId="0" borderId="2" xfId="20" applyNumberFormat="1" applyFont="1" applyBorder="1" applyAlignment="1">
      <alignment horizontal="right" vertical="center"/>
      <protection/>
    </xf>
    <xf numFmtId="179" fontId="4" fillId="0" borderId="3" xfId="20" applyNumberFormat="1" applyFont="1" applyBorder="1" applyAlignment="1">
      <alignment horizontal="right" vertical="center"/>
      <protection/>
    </xf>
    <xf numFmtId="179" fontId="4" fillId="0" borderId="3" xfId="17" applyNumberFormat="1" applyFont="1" applyBorder="1" applyAlignment="1">
      <alignment vertical="center"/>
      <protection/>
    </xf>
    <xf numFmtId="179" fontId="4" fillId="0" borderId="4" xfId="17" applyNumberFormat="1" applyFont="1" applyBorder="1" applyAlignment="1">
      <alignment vertical="center"/>
      <protection/>
    </xf>
    <xf numFmtId="179" fontId="4" fillId="0" borderId="2" xfId="15" applyNumberFormat="1" applyFont="1" applyBorder="1" applyAlignment="1">
      <alignment vertical="center"/>
      <protection/>
    </xf>
    <xf numFmtId="179" fontId="4" fillId="0" borderId="3" xfId="15" applyNumberFormat="1" applyFont="1" applyBorder="1" applyAlignment="1">
      <alignment vertical="center"/>
      <protection/>
    </xf>
    <xf numFmtId="179" fontId="4" fillId="0" borderId="4" xfId="0" applyNumberFormat="1" applyFont="1" applyBorder="1" applyAlignment="1">
      <alignment vertical="center"/>
    </xf>
    <xf numFmtId="179" fontId="4" fillId="0" borderId="6" xfId="15" applyNumberFormat="1" applyFont="1" applyBorder="1" applyAlignment="1">
      <alignment vertical="center"/>
      <protection/>
    </xf>
    <xf numFmtId="179" fontId="4" fillId="0" borderId="7" xfId="15" applyNumberFormat="1" applyFont="1" applyBorder="1" applyAlignment="1">
      <alignment vertical="center"/>
      <protection/>
    </xf>
    <xf numFmtId="179" fontId="4" fillId="0" borderId="7" xfId="0" applyNumberFormat="1" applyFont="1" applyBorder="1" applyAlignment="1">
      <alignment vertical="center"/>
    </xf>
    <xf numFmtId="0" fontId="8" fillId="0" borderId="5" xfId="0" applyFont="1" applyBorder="1" applyAlignment="1">
      <alignment vertical="center"/>
    </xf>
    <xf numFmtId="0" fontId="3" fillId="0" borderId="0" xfId="0" applyFont="1" applyAlignment="1">
      <alignment/>
    </xf>
    <xf numFmtId="218" fontId="4" fillId="0" borderId="2" xfId="0" applyNumberFormat="1" applyFont="1" applyBorder="1" applyAlignment="1">
      <alignment horizontal="right" vertical="center"/>
    </xf>
    <xf numFmtId="218" fontId="4" fillId="0" borderId="3" xfId="0" applyNumberFormat="1" applyFont="1" applyBorder="1" applyAlignment="1">
      <alignment horizontal="right" vertical="center"/>
    </xf>
    <xf numFmtId="218" fontId="4" fillId="0" borderId="3" xfId="0" applyNumberFormat="1" applyFont="1" applyBorder="1" applyAlignment="1" quotePrefix="1">
      <alignment horizontal="right" vertical="center"/>
    </xf>
    <xf numFmtId="218" fontId="4" fillId="0" borderId="4" xfId="0" applyNumberFormat="1" applyFont="1" applyBorder="1" applyAlignment="1">
      <alignment horizontal="right" vertical="center"/>
    </xf>
    <xf numFmtId="218" fontId="4" fillId="0" borderId="4" xfId="0" applyNumberFormat="1" applyFont="1" applyFill="1" applyBorder="1" applyAlignment="1">
      <alignment horizontal="right" vertical="center"/>
    </xf>
    <xf numFmtId="218" fontId="4" fillId="0" borderId="6" xfId="0" applyNumberFormat="1" applyFont="1" applyBorder="1" applyAlignment="1">
      <alignment horizontal="right" vertical="center"/>
    </xf>
    <xf numFmtId="218" fontId="4" fillId="0" borderId="7" xfId="0" applyNumberFormat="1" applyFont="1" applyBorder="1" applyAlignment="1">
      <alignment horizontal="right" vertical="center"/>
    </xf>
    <xf numFmtId="218" fontId="4" fillId="0" borderId="9" xfId="0" applyNumberFormat="1" applyFont="1" applyBorder="1" applyAlignment="1">
      <alignment horizontal="right" vertical="center"/>
    </xf>
    <xf numFmtId="0" fontId="4" fillId="0" borderId="0" xfId="0" applyFont="1" applyAlignment="1" quotePrefix="1">
      <alignment/>
    </xf>
    <xf numFmtId="0" fontId="4" fillId="0" borderId="0" xfId="0" applyFont="1" applyAlignment="1">
      <alignment/>
    </xf>
    <xf numFmtId="0" fontId="4" fillId="0" borderId="0" xfId="0" applyFont="1" applyBorder="1" applyAlignment="1">
      <alignment/>
    </xf>
    <xf numFmtId="218" fontId="4" fillId="0" borderId="1" xfId="0" applyNumberFormat="1" applyFont="1" applyBorder="1" applyAlignment="1">
      <alignment horizontal="right" vertical="center"/>
    </xf>
    <xf numFmtId="179" fontId="4" fillId="0" borderId="3" xfId="0" applyNumberFormat="1" applyFont="1" applyFill="1" applyBorder="1" applyAlignment="1">
      <alignment horizontal="right" vertical="center"/>
    </xf>
    <xf numFmtId="0" fontId="4" fillId="0" borderId="0" xfId="0" applyFont="1" applyAlignment="1" quotePrefix="1">
      <alignment vertical="center"/>
    </xf>
    <xf numFmtId="218" fontId="4" fillId="0" borderId="4" xfId="0" applyNumberFormat="1" applyFont="1" applyBorder="1" applyAlignment="1">
      <alignment vertical="center"/>
    </xf>
    <xf numFmtId="218" fontId="4" fillId="0" borderId="7" xfId="0" applyNumberFormat="1" applyFont="1" applyBorder="1" applyAlignment="1" quotePrefix="1">
      <alignment horizontal="right" vertical="center"/>
    </xf>
    <xf numFmtId="218" fontId="4" fillId="0" borderId="9" xfId="0" applyNumberFormat="1" applyFont="1" applyBorder="1" applyAlignment="1">
      <alignment vertical="center"/>
    </xf>
    <xf numFmtId="179" fontId="4" fillId="0" borderId="7" xfId="0" applyNumberFormat="1" applyFont="1" applyBorder="1" applyAlignment="1" quotePrefix="1">
      <alignment horizontal="right" vertical="center"/>
    </xf>
    <xf numFmtId="208" fontId="4" fillId="0" borderId="0" xfId="0" applyNumberFormat="1" applyFont="1" applyAlignment="1">
      <alignment vertical="center"/>
    </xf>
    <xf numFmtId="208" fontId="4" fillId="0" borderId="11" xfId="0" applyNumberFormat="1" applyFont="1" applyFill="1" applyBorder="1" applyAlignment="1">
      <alignment horizontal="center" vertical="center"/>
    </xf>
    <xf numFmtId="188" fontId="4" fillId="0" borderId="2" xfId="0" applyNumberFormat="1" applyFont="1" applyBorder="1" applyAlignment="1">
      <alignment vertical="center"/>
    </xf>
    <xf numFmtId="188" fontId="4" fillId="0" borderId="3" xfId="0" applyNumberFormat="1" applyFont="1" applyBorder="1" applyAlignment="1">
      <alignment vertical="center"/>
    </xf>
    <xf numFmtId="199" fontId="4" fillId="0" borderId="3" xfId="0" applyNumberFormat="1" applyFont="1" applyBorder="1" applyAlignment="1">
      <alignment vertical="center"/>
    </xf>
    <xf numFmtId="188" fontId="4" fillId="0" borderId="3" xfId="0" applyNumberFormat="1" applyFont="1" applyFill="1" applyBorder="1" applyAlignment="1">
      <alignment vertical="center"/>
    </xf>
    <xf numFmtId="199" fontId="4" fillId="0" borderId="4" xfId="0" applyNumberFormat="1" applyFont="1" applyFill="1" applyBorder="1" applyAlignment="1">
      <alignment vertical="center"/>
    </xf>
    <xf numFmtId="200" fontId="4" fillId="0" borderId="3" xfId="0" applyNumberFormat="1" applyFont="1" applyBorder="1" applyAlignment="1">
      <alignment vertical="center"/>
    </xf>
    <xf numFmtId="210" fontId="4" fillId="0" borderId="3" xfId="0" applyNumberFormat="1" applyFont="1" applyBorder="1" applyAlignment="1">
      <alignment vertical="center"/>
    </xf>
    <xf numFmtId="188" fontId="4" fillId="0" borderId="6" xfId="0" applyNumberFormat="1" applyFont="1" applyBorder="1" applyAlignment="1">
      <alignment vertical="center"/>
    </xf>
    <xf numFmtId="188" fontId="4" fillId="0" borderId="7" xfId="0" applyNumberFormat="1" applyFont="1" applyBorder="1" applyAlignment="1">
      <alignment vertical="center"/>
    </xf>
    <xf numFmtId="199" fontId="4" fillId="0" borderId="7" xfId="0" applyNumberFormat="1" applyFont="1" applyBorder="1" applyAlignment="1">
      <alignment vertical="center"/>
    </xf>
    <xf numFmtId="199" fontId="4" fillId="0" borderId="7" xfId="0" applyNumberFormat="1" applyFont="1" applyFill="1" applyBorder="1" applyAlignment="1">
      <alignment vertical="center"/>
    </xf>
    <xf numFmtId="188" fontId="4" fillId="0" borderId="7" xfId="0" applyNumberFormat="1" applyFont="1" applyFill="1" applyBorder="1" applyAlignment="1">
      <alignment vertical="center"/>
    </xf>
    <xf numFmtId="199" fontId="4" fillId="0" borderId="9" xfId="0" applyNumberFormat="1" applyFont="1" applyFill="1" applyBorder="1" applyAlignment="1">
      <alignment vertical="center"/>
    </xf>
    <xf numFmtId="0" fontId="4" fillId="0" borderId="0" xfId="0" applyFont="1" applyFill="1" applyBorder="1" applyAlignment="1">
      <alignment horizontal="left" vertical="center"/>
    </xf>
    <xf numFmtId="188" fontId="4" fillId="0" borderId="1" xfId="0" applyNumberFormat="1" applyFont="1" applyBorder="1" applyAlignment="1">
      <alignment vertical="center"/>
    </xf>
    <xf numFmtId="210" fontId="4" fillId="0" borderId="1" xfId="0" applyNumberFormat="1" applyFont="1" applyBorder="1" applyAlignment="1">
      <alignment vertical="center"/>
    </xf>
    <xf numFmtId="0" fontId="15" fillId="0" borderId="0" xfId="0" applyFont="1" applyAlignment="1">
      <alignment horizontal="center" vertical="center"/>
    </xf>
    <xf numFmtId="218" fontId="4" fillId="0" borderId="1" xfId="0" applyNumberFormat="1" applyFont="1" applyBorder="1" applyAlignment="1" quotePrefix="1">
      <alignment horizontal="right" vertical="center"/>
    </xf>
    <xf numFmtId="0" fontId="4" fillId="0" borderId="0" xfId="0" applyFont="1" applyBorder="1" applyAlignment="1">
      <alignment/>
    </xf>
    <xf numFmtId="218" fontId="4" fillId="0" borderId="3" xfId="0" applyNumberFormat="1" applyFont="1" applyFill="1" applyBorder="1" applyAlignment="1">
      <alignment horizontal="right" vertical="center"/>
    </xf>
    <xf numFmtId="218" fontId="4" fillId="0" borderId="8" xfId="0" applyNumberFormat="1" applyFont="1" applyFill="1" applyBorder="1" applyAlignment="1" quotePrefix="1">
      <alignment horizontal="right" vertical="center"/>
    </xf>
    <xf numFmtId="218" fontId="4" fillId="0" borderId="7" xfId="0" applyNumberFormat="1" applyFont="1" applyFill="1" applyBorder="1" applyAlignment="1" quotePrefix="1">
      <alignment horizontal="right" vertical="center"/>
    </xf>
    <xf numFmtId="218" fontId="4" fillId="0" borderId="7" xfId="0" applyNumberFormat="1" applyFont="1" applyFill="1" applyBorder="1" applyAlignment="1">
      <alignment horizontal="right" vertical="center"/>
    </xf>
    <xf numFmtId="218" fontId="4" fillId="0" borderId="9" xfId="0" applyNumberFormat="1" applyFont="1" applyFill="1" applyBorder="1" applyAlignment="1">
      <alignment horizontal="right" vertical="center"/>
    </xf>
    <xf numFmtId="218" fontId="4" fillId="0" borderId="8" xfId="0" applyNumberFormat="1" applyFont="1" applyFill="1" applyBorder="1" applyAlignment="1">
      <alignment horizontal="righ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0" xfId="0" applyFont="1" applyFill="1" applyBorder="1" applyAlignment="1">
      <alignment vertical="center"/>
    </xf>
    <xf numFmtId="3" fontId="3" fillId="0" borderId="0" xfId="16" applyNumberFormat="1" applyFont="1">
      <alignment vertical="center"/>
      <protection/>
    </xf>
    <xf numFmtId="3" fontId="3" fillId="0" borderId="0" xfId="16" applyNumberFormat="1" applyFont="1" applyAlignment="1">
      <alignment horizontal="left" vertical="center"/>
      <protection/>
    </xf>
    <xf numFmtId="0" fontId="4" fillId="0" borderId="7" xfId="0" applyFont="1" applyBorder="1" applyAlignment="1">
      <alignment horizontal="center" vertical="center"/>
    </xf>
    <xf numFmtId="3" fontId="4" fillId="0" borderId="0" xfId="16" applyNumberFormat="1" applyFont="1" applyBorder="1" applyAlignment="1" quotePrefix="1">
      <alignment horizontal="center" vertical="center" wrapText="1"/>
      <protection/>
    </xf>
    <xf numFmtId="179" fontId="4" fillId="0" borderId="14" xfId="16" applyNumberFormat="1" applyFont="1" applyBorder="1" applyAlignment="1" quotePrefix="1">
      <alignment horizontal="right" vertical="center"/>
      <protection/>
    </xf>
    <xf numFmtId="179" fontId="4" fillId="0" borderId="10" xfId="16" applyNumberFormat="1" applyFont="1" applyBorder="1" applyAlignment="1" quotePrefix="1">
      <alignment horizontal="right" vertical="center"/>
      <protection/>
    </xf>
    <xf numFmtId="3" fontId="4" fillId="0" borderId="0" xfId="16" applyNumberFormat="1" applyFont="1" applyBorder="1" applyAlignment="1">
      <alignment vertical="center"/>
      <protection/>
    </xf>
    <xf numFmtId="3" fontId="4" fillId="0" borderId="0" xfId="16" applyNumberFormat="1" applyFont="1" applyBorder="1" applyAlignment="1">
      <alignment horizontal="center" vertical="center" wrapText="1"/>
      <protection/>
    </xf>
    <xf numFmtId="179" fontId="4" fillId="0" borderId="2" xfId="16" applyNumberFormat="1" applyFont="1" applyBorder="1" applyAlignment="1" quotePrefix="1">
      <alignment horizontal="right" vertical="center"/>
      <protection/>
    </xf>
    <xf numFmtId="179" fontId="4" fillId="0" borderId="3" xfId="16" applyNumberFormat="1" applyFont="1" applyBorder="1" applyAlignment="1" quotePrefix="1">
      <alignment horizontal="right" vertical="center"/>
      <protection/>
    </xf>
    <xf numFmtId="3" fontId="4" fillId="0" borderId="0" xfId="16" applyNumberFormat="1" applyFont="1" applyBorder="1" applyAlignment="1" quotePrefix="1">
      <alignment horizontal="center" vertical="center"/>
      <protection/>
    </xf>
    <xf numFmtId="3" fontId="4" fillId="0" borderId="0" xfId="16" applyNumberFormat="1" applyFont="1" applyFill="1" applyBorder="1" applyAlignment="1">
      <alignment vertical="center"/>
      <protection/>
    </xf>
    <xf numFmtId="3" fontId="4" fillId="0" borderId="0" xfId="16" applyNumberFormat="1" applyFont="1" applyAlignment="1">
      <alignment horizontal="left" vertical="center"/>
      <protection/>
    </xf>
    <xf numFmtId="218" fontId="4" fillId="0" borderId="0" xfId="16" applyNumberFormat="1" applyFont="1" applyFill="1" applyBorder="1" applyAlignment="1" quotePrefix="1">
      <alignment vertical="center"/>
      <protection/>
    </xf>
    <xf numFmtId="218" fontId="4" fillId="0" borderId="0" xfId="16" applyNumberFormat="1" applyFont="1" applyFill="1" applyBorder="1" applyAlignment="1">
      <alignment vertical="center"/>
      <protection/>
    </xf>
    <xf numFmtId="218" fontId="4" fillId="0" borderId="0" xfId="16" applyNumberFormat="1" applyFont="1" applyFill="1" applyBorder="1" applyAlignment="1" quotePrefix="1">
      <alignment horizontal="right" vertical="center"/>
      <protection/>
    </xf>
    <xf numFmtId="3" fontId="4" fillId="0" borderId="0" xfId="16" applyNumberFormat="1" applyFont="1" applyAlignment="1" quotePrefix="1">
      <alignment horizontal="left"/>
      <protection/>
    </xf>
    <xf numFmtId="3" fontId="4" fillId="0" borderId="0" xfId="16" applyNumberFormat="1" applyFont="1">
      <alignment vertical="center"/>
      <protection/>
    </xf>
    <xf numFmtId="3" fontId="4" fillId="0" borderId="0" xfId="16" applyNumberFormat="1" applyFont="1" applyBorder="1">
      <alignment vertical="center"/>
      <protection/>
    </xf>
    <xf numFmtId="0" fontId="4" fillId="0" borderId="11" xfId="0" applyFont="1" applyBorder="1" applyAlignment="1">
      <alignment horizontal="left" vertical="center"/>
    </xf>
    <xf numFmtId="179" fontId="4" fillId="0" borderId="17" xfId="0" applyNumberFormat="1" applyFont="1" applyBorder="1" applyAlignment="1">
      <alignment horizontal="right" vertical="center"/>
    </xf>
    <xf numFmtId="179" fontId="4" fillId="0" borderId="1" xfId="16" applyNumberFormat="1" applyFont="1" applyBorder="1" applyAlignment="1">
      <alignment horizontal="right" vertical="center"/>
      <protection/>
    </xf>
    <xf numFmtId="0" fontId="18" fillId="0" borderId="0" xfId="0" applyFont="1" applyAlignment="1">
      <alignment horizontal="center" vertical="center"/>
    </xf>
    <xf numFmtId="0" fontId="19" fillId="0" borderId="0" xfId="0" applyFont="1" applyAlignment="1">
      <alignment horizontal="center"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8" fontId="8" fillId="0" borderId="2" xfId="0" applyNumberFormat="1" applyFont="1" applyBorder="1" applyAlignment="1">
      <alignment horizontal="right" vertical="center"/>
    </xf>
    <xf numFmtId="188" fontId="8" fillId="0" borderId="1" xfId="0" applyNumberFormat="1" applyFont="1" applyBorder="1" applyAlignment="1">
      <alignment horizontal="right" vertical="center"/>
    </xf>
    <xf numFmtId="188" fontId="8" fillId="0" borderId="3" xfId="0" applyNumberFormat="1" applyFont="1" applyBorder="1" applyAlignment="1">
      <alignment horizontal="right" vertical="center"/>
    </xf>
    <xf numFmtId="188" fontId="8" fillId="0" borderId="4" xfId="0" applyNumberFormat="1" applyFont="1" applyBorder="1" applyAlignment="1">
      <alignment horizontal="right" vertical="center"/>
    </xf>
    <xf numFmtId="188" fontId="8" fillId="0" borderId="4" xfId="0" applyNumberFormat="1" applyFont="1" applyFill="1" applyBorder="1" applyAlignment="1">
      <alignment horizontal="right" vertical="center"/>
    </xf>
    <xf numFmtId="188" fontId="8" fillId="0" borderId="1"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188" fontId="8" fillId="0" borderId="6" xfId="0" applyNumberFormat="1" applyFont="1" applyBorder="1" applyAlignment="1">
      <alignment horizontal="right" vertical="center"/>
    </xf>
    <xf numFmtId="188" fontId="8" fillId="0" borderId="8" xfId="0" applyNumberFormat="1" applyFont="1" applyBorder="1" applyAlignment="1">
      <alignment horizontal="right" vertical="center"/>
    </xf>
    <xf numFmtId="188" fontId="8" fillId="0" borderId="7" xfId="0" applyNumberFormat="1" applyFont="1" applyBorder="1" applyAlignment="1">
      <alignment horizontal="right" vertical="center"/>
    </xf>
    <xf numFmtId="188" fontId="8" fillId="0" borderId="9" xfId="0" applyNumberFormat="1" applyFont="1" applyBorder="1" applyAlignment="1">
      <alignment horizontal="right" vertical="center"/>
    </xf>
    <xf numFmtId="184" fontId="8" fillId="0" borderId="0" xfId="0" applyNumberFormat="1" applyFont="1" applyBorder="1" applyAlignment="1">
      <alignment horizontal="left" vertical="center"/>
    </xf>
    <xf numFmtId="208" fontId="8" fillId="0" borderId="11" xfId="0" applyNumberFormat="1" applyFont="1" applyFill="1" applyBorder="1" applyAlignment="1">
      <alignment horizontal="left"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208" fontId="8" fillId="0" borderId="0" xfId="0" applyNumberFormat="1" applyFont="1" applyFill="1" applyBorder="1" applyAlignment="1">
      <alignment horizontal="left" vertical="center" wrapText="1"/>
    </xf>
    <xf numFmtId="188" fontId="8" fillId="0" borderId="0" xfId="0" applyNumberFormat="1" applyFont="1" applyBorder="1" applyAlignment="1">
      <alignment horizontal="right" vertical="center"/>
    </xf>
    <xf numFmtId="0" fontId="8" fillId="0" borderId="20" xfId="0" applyFont="1" applyBorder="1" applyAlignment="1">
      <alignment horizontal="center" vertical="center"/>
    </xf>
    <xf numFmtId="0" fontId="4" fillId="0" borderId="21" xfId="0" applyFont="1" applyBorder="1" applyAlignment="1">
      <alignment horizontal="center" vertical="center"/>
    </xf>
    <xf numFmtId="184" fontId="4" fillId="0" borderId="0" xfId="0" applyNumberFormat="1" applyFont="1" applyBorder="1" applyAlignment="1">
      <alignment horizontal="right" vertical="center"/>
    </xf>
    <xf numFmtId="0" fontId="7" fillId="0" borderId="0" xfId="0" applyFont="1" applyAlignment="1">
      <alignment horizontal="right"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199" fontId="4" fillId="0" borderId="1"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8" xfId="0" applyNumberFormat="1" applyFont="1" applyBorder="1" applyAlignment="1">
      <alignment horizontal="right" vertical="center"/>
    </xf>
    <xf numFmtId="199" fontId="4" fillId="0" borderId="5" xfId="0" applyNumberFormat="1" applyFont="1" applyBorder="1" applyAlignment="1">
      <alignment horizontal="right" vertical="center"/>
    </xf>
    <xf numFmtId="0" fontId="21" fillId="0" borderId="0" xfId="0" applyFont="1" applyAlignment="1">
      <alignment horizontal="left" vertical="center"/>
    </xf>
    <xf numFmtId="0" fontId="21" fillId="0" borderId="0" xfId="0" applyFont="1" applyAlignment="1">
      <alignment horizontal="center" vertical="center"/>
    </xf>
    <xf numFmtId="0" fontId="10" fillId="0" borderId="0" xfId="0" applyFont="1" applyAlignment="1">
      <alignment horizontal="left" vertical="center"/>
    </xf>
    <xf numFmtId="179" fontId="11" fillId="0" borderId="4" xfId="0" applyNumberFormat="1" applyFont="1" applyBorder="1" applyAlignment="1">
      <alignment horizontal="right" vertical="center"/>
    </xf>
    <xf numFmtId="0" fontId="11" fillId="0" borderId="0" xfId="0" applyFont="1" applyBorder="1" applyAlignment="1">
      <alignment horizontal="right" vertical="center"/>
    </xf>
    <xf numFmtId="179" fontId="11" fillId="0" borderId="2" xfId="0" applyNumberFormat="1" applyFont="1" applyBorder="1" applyAlignment="1">
      <alignment horizontal="right" vertical="center"/>
    </xf>
    <xf numFmtId="179" fontId="11" fillId="0" borderId="3" xfId="0" applyNumberFormat="1" applyFont="1" applyFill="1" applyBorder="1" applyAlignment="1">
      <alignment horizontal="right" vertical="center"/>
    </xf>
    <xf numFmtId="179" fontId="11" fillId="0" borderId="4" xfId="0" applyNumberFormat="1" applyFont="1" applyFill="1" applyBorder="1" applyAlignment="1">
      <alignment horizontal="right" vertical="center"/>
    </xf>
    <xf numFmtId="179" fontId="11" fillId="0" borderId="6" xfId="0" applyNumberFormat="1" applyFont="1" applyBorder="1" applyAlignment="1">
      <alignment horizontal="right" vertical="center"/>
    </xf>
    <xf numFmtId="179" fontId="11" fillId="0" borderId="7" xfId="0" applyNumberFormat="1" applyFont="1" applyBorder="1" applyAlignment="1">
      <alignment horizontal="right" vertical="center"/>
    </xf>
    <xf numFmtId="179" fontId="11" fillId="0" borderId="9" xfId="0" applyNumberFormat="1" applyFont="1" applyBorder="1" applyAlignment="1">
      <alignment horizontal="right" vertical="center"/>
    </xf>
    <xf numFmtId="0" fontId="11" fillId="0" borderId="0" xfId="0"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horizontal="center" vertical="center" wrapText="1"/>
    </xf>
    <xf numFmtId="218" fontId="11" fillId="0" borderId="2" xfId="0" applyNumberFormat="1" applyFont="1" applyBorder="1" applyAlignment="1">
      <alignment horizontal="right" vertical="center"/>
    </xf>
    <xf numFmtId="218" fontId="11" fillId="0" borderId="3" xfId="0" applyNumberFormat="1" applyFont="1" applyBorder="1" applyAlignment="1">
      <alignment horizontal="right" vertical="center"/>
    </xf>
    <xf numFmtId="218" fontId="11" fillId="0" borderId="3" xfId="0" applyNumberFormat="1" applyFont="1" applyBorder="1" applyAlignment="1" quotePrefix="1">
      <alignment horizontal="right" vertical="center"/>
    </xf>
    <xf numFmtId="218" fontId="11" fillId="0" borderId="4" xfId="0" applyNumberFormat="1" applyFont="1" applyBorder="1" applyAlignment="1">
      <alignment vertical="center"/>
    </xf>
    <xf numFmtId="218" fontId="11" fillId="0" borderId="1" xfId="0" applyNumberFormat="1" applyFont="1" applyBorder="1" applyAlignment="1">
      <alignment vertical="center"/>
    </xf>
    <xf numFmtId="218" fontId="11" fillId="0" borderId="6" xfId="0" applyNumberFormat="1" applyFont="1" applyBorder="1" applyAlignment="1">
      <alignment horizontal="right" vertical="center"/>
    </xf>
    <xf numFmtId="218" fontId="11" fillId="0" borderId="7" xfId="0" applyNumberFormat="1" applyFont="1" applyBorder="1" applyAlignment="1">
      <alignment horizontal="right" vertical="center"/>
    </xf>
    <xf numFmtId="218" fontId="11" fillId="0" borderId="8" xfId="0" applyNumberFormat="1" applyFont="1" applyBorder="1" applyAlignment="1">
      <alignment vertical="center"/>
    </xf>
    <xf numFmtId="218" fontId="11" fillId="0" borderId="7" xfId="0" applyNumberFormat="1" applyFont="1" applyBorder="1" applyAlignment="1" quotePrefix="1">
      <alignment horizontal="right" vertical="center"/>
    </xf>
    <xf numFmtId="218" fontId="11" fillId="0" borderId="9" xfId="0" applyNumberFormat="1" applyFont="1" applyBorder="1" applyAlignment="1">
      <alignment vertical="center"/>
    </xf>
    <xf numFmtId="0" fontId="10" fillId="0" borderId="0" xfId="0" applyFont="1" applyAlignment="1">
      <alignment/>
    </xf>
    <xf numFmtId="0" fontId="11" fillId="0" borderId="0" xfId="0" applyFont="1" applyAlignment="1" quotePrefix="1">
      <alignment/>
    </xf>
    <xf numFmtId="0" fontId="11" fillId="0" borderId="0" xfId="0" applyFont="1" applyAlignment="1">
      <alignment/>
    </xf>
    <xf numFmtId="0" fontId="11" fillId="0" borderId="0" xfId="0" applyFont="1" applyBorder="1" applyAlignment="1">
      <alignment/>
    </xf>
    <xf numFmtId="179" fontId="4" fillId="0" borderId="1" xfId="0" applyNumberFormat="1" applyFont="1" applyBorder="1" applyAlignment="1" quotePrefix="1">
      <alignment horizontal="right" vertical="center"/>
    </xf>
    <xf numFmtId="179" fontId="20" fillId="0" borderId="2" xfId="0" applyNumberFormat="1" applyFont="1" applyBorder="1" applyAlignment="1">
      <alignment horizontal="right" vertical="center"/>
    </xf>
    <xf numFmtId="0" fontId="4" fillId="0" borderId="0" xfId="15" applyFont="1" applyBorder="1" applyAlignment="1">
      <alignment horizontal="left" vertical="center" wrapText="1"/>
      <protection/>
    </xf>
    <xf numFmtId="3" fontId="4" fillId="0" borderId="11" xfId="16" applyNumberFormat="1" applyFont="1" applyBorder="1" applyAlignment="1">
      <alignment horizontal="left" vertical="center" wrapText="1"/>
      <protection/>
    </xf>
    <xf numFmtId="188" fontId="8" fillId="0" borderId="6" xfId="0" applyNumberFormat="1" applyFont="1" applyFill="1" applyBorder="1" applyAlignment="1">
      <alignment horizontal="right" vertical="center"/>
    </xf>
    <xf numFmtId="188" fontId="8" fillId="0" borderId="2" xfId="0" applyNumberFormat="1" applyFont="1" applyFill="1" applyBorder="1" applyAlignment="1">
      <alignment horizontal="right" vertical="center"/>
    </xf>
    <xf numFmtId="188" fontId="8" fillId="0" borderId="3" xfId="0" applyNumberFormat="1" applyFont="1" applyFill="1" applyBorder="1" applyAlignment="1">
      <alignment horizontal="right" vertical="center"/>
    </xf>
    <xf numFmtId="179" fontId="4" fillId="0" borderId="3" xfId="15" applyNumberFormat="1" applyFont="1" applyFill="1" applyBorder="1" applyAlignment="1">
      <alignment vertical="center"/>
      <protection/>
    </xf>
    <xf numFmtId="179" fontId="4" fillId="0" borderId="7" xfId="15" applyNumberFormat="1" applyFont="1" applyFill="1" applyBorder="1" applyAlignment="1">
      <alignment vertical="center"/>
      <protection/>
    </xf>
    <xf numFmtId="179" fontId="4" fillId="0" borderId="4" xfId="0" applyNumberFormat="1" applyFont="1" applyFill="1" applyBorder="1" applyAlignment="1">
      <alignment vertical="center"/>
    </xf>
    <xf numFmtId="179" fontId="4" fillId="0" borderId="9" xfId="0" applyNumberFormat="1" applyFont="1" applyFill="1" applyBorder="1" applyAlignment="1">
      <alignment vertical="center"/>
    </xf>
    <xf numFmtId="0" fontId="25" fillId="0" borderId="21" xfId="0" applyFont="1" applyBorder="1" applyAlignment="1">
      <alignment horizontal="center" vertical="center" wrapText="1"/>
    </xf>
    <xf numFmtId="0" fontId="25" fillId="0" borderId="22" xfId="0" applyFont="1" applyBorder="1" applyAlignment="1">
      <alignment horizontal="center" vertical="center"/>
    </xf>
    <xf numFmtId="0" fontId="25" fillId="0" borderId="23" xfId="0" applyFont="1" applyBorder="1" applyAlignment="1">
      <alignment horizontal="center" vertical="center" wrapText="1"/>
    </xf>
    <xf numFmtId="0" fontId="25" fillId="0" borderId="23" xfId="0" applyFont="1" applyBorder="1" applyAlignment="1">
      <alignment horizontal="center" vertical="center"/>
    </xf>
    <xf numFmtId="0" fontId="25" fillId="0" borderId="24"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15" applyFont="1" applyBorder="1" applyAlignment="1">
      <alignment horizontal="left" vertical="center" wrapText="1"/>
      <protection/>
    </xf>
    <xf numFmtId="0" fontId="25" fillId="0" borderId="11" xfId="15" applyFont="1" applyBorder="1" applyAlignment="1">
      <alignment horizontal="left" vertical="center" wrapText="1"/>
      <protection/>
    </xf>
    <xf numFmtId="0" fontId="25" fillId="0" borderId="12" xfId="15" applyFont="1" applyBorder="1" applyAlignment="1">
      <alignment horizontal="left" vertical="center" wrapText="1"/>
      <protection/>
    </xf>
    <xf numFmtId="0" fontId="28" fillId="0" borderId="17" xfId="0" applyFont="1" applyBorder="1" applyAlignment="1">
      <alignment horizontal="center" vertical="center" wrapText="1"/>
    </xf>
    <xf numFmtId="0" fontId="28" fillId="0" borderId="10" xfId="0" applyFont="1" applyBorder="1" applyAlignment="1">
      <alignment horizontal="center" vertical="center" wrapText="1"/>
    </xf>
    <xf numFmtId="0" fontId="25" fillId="0" borderId="14" xfId="0" applyFont="1" applyBorder="1" applyAlignment="1">
      <alignment horizontal="center" vertical="center"/>
    </xf>
    <xf numFmtId="0" fontId="28" fillId="0" borderId="15" xfId="0" applyFont="1" applyBorder="1" applyAlignment="1">
      <alignment horizontal="center" vertical="center" wrapText="1"/>
    </xf>
    <xf numFmtId="179" fontId="26" fillId="0" borderId="3" xfId="0" applyNumberFormat="1" applyFont="1" applyBorder="1" applyAlignment="1">
      <alignment horizontal="right" vertical="center"/>
    </xf>
    <xf numFmtId="179" fontId="26" fillId="0" borderId="1" xfId="0" applyNumberFormat="1" applyFont="1" applyBorder="1" applyAlignment="1">
      <alignment horizontal="right" vertical="center"/>
    </xf>
    <xf numFmtId="179" fontId="26" fillId="0" borderId="15" xfId="0" applyNumberFormat="1" applyFont="1" applyBorder="1" applyAlignment="1">
      <alignment horizontal="right" vertical="center"/>
    </xf>
    <xf numFmtId="179" fontId="26" fillId="0" borderId="4" xfId="0" applyNumberFormat="1" applyFont="1" applyBorder="1" applyAlignment="1">
      <alignment horizontal="right" vertical="center"/>
    </xf>
    <xf numFmtId="179" fontId="26" fillId="0" borderId="7" xfId="0" applyNumberFormat="1" applyFont="1" applyBorder="1" applyAlignment="1">
      <alignment horizontal="right" vertical="center"/>
    </xf>
    <xf numFmtId="179" fontId="26" fillId="0" borderId="8" xfId="0" applyNumberFormat="1" applyFont="1" applyBorder="1" applyAlignment="1">
      <alignment horizontal="right" vertical="center"/>
    </xf>
    <xf numFmtId="179" fontId="26" fillId="0" borderId="9" xfId="0" applyNumberFormat="1" applyFont="1" applyBorder="1" applyAlignment="1">
      <alignment horizontal="right" vertical="center"/>
    </xf>
    <xf numFmtId="179" fontId="8" fillId="0" borderId="3" xfId="0" applyNumberFormat="1" applyFont="1" applyBorder="1" applyAlignment="1">
      <alignment horizontal="right" vertical="center"/>
    </xf>
    <xf numFmtId="179" fontId="8" fillId="0" borderId="1" xfId="0" applyNumberFormat="1" applyFont="1" applyBorder="1" applyAlignment="1">
      <alignment horizontal="right" vertical="center"/>
    </xf>
    <xf numFmtId="179" fontId="8" fillId="0" borderId="4" xfId="0" applyNumberFormat="1" applyFont="1" applyBorder="1" applyAlignment="1">
      <alignment horizontal="right" vertical="center"/>
    </xf>
    <xf numFmtId="179" fontId="8" fillId="0" borderId="7" xfId="0" applyNumberFormat="1" applyFont="1" applyBorder="1" applyAlignment="1">
      <alignment horizontal="right" vertical="center"/>
    </xf>
    <xf numFmtId="179" fontId="8" fillId="0" borderId="8" xfId="0" applyNumberFormat="1" applyFont="1" applyBorder="1" applyAlignment="1">
      <alignment horizontal="right" vertical="center"/>
    </xf>
    <xf numFmtId="0" fontId="28" fillId="0" borderId="11" xfId="0" applyFont="1" applyBorder="1" applyAlignment="1">
      <alignment horizontal="left" vertical="center" wrapText="1"/>
    </xf>
    <xf numFmtId="0" fontId="11" fillId="0" borderId="11" xfId="0" applyFont="1" applyBorder="1" applyAlignment="1">
      <alignment horizontal="left" vertical="center" wrapText="1"/>
    </xf>
    <xf numFmtId="0" fontId="28" fillId="0" borderId="11" xfId="0" applyFont="1" applyBorder="1" applyAlignment="1">
      <alignment vertical="center" wrapText="1"/>
    </xf>
    <xf numFmtId="0" fontId="11" fillId="0" borderId="11" xfId="0" applyFont="1" applyBorder="1" applyAlignment="1">
      <alignment vertical="center" wrapText="1"/>
    </xf>
    <xf numFmtId="0" fontId="28" fillId="0" borderId="12" xfId="0" applyFont="1" applyBorder="1" applyAlignment="1">
      <alignment vertical="center" wrapText="1"/>
    </xf>
    <xf numFmtId="49" fontId="10" fillId="0" borderId="0" xfId="0" applyNumberFormat="1" applyFont="1" applyBorder="1" applyAlignment="1">
      <alignment vertical="center"/>
    </xf>
    <xf numFmtId="49" fontId="11" fillId="0" borderId="0" xfId="0" applyNumberFormat="1" applyFont="1" applyBorder="1" applyAlignment="1" quotePrefix="1">
      <alignment vertical="center"/>
    </xf>
    <xf numFmtId="49" fontId="11" fillId="0" borderId="0" xfId="0" applyNumberFormat="1" applyFont="1" applyFill="1" applyBorder="1" applyAlignment="1">
      <alignment vertical="center"/>
    </xf>
    <xf numFmtId="49" fontId="11" fillId="0" borderId="0" xfId="0" applyNumberFormat="1" applyFont="1" applyAlignment="1">
      <alignment horizontal="left" vertical="center"/>
    </xf>
    <xf numFmtId="49" fontId="10" fillId="0" borderId="0" xfId="0" applyNumberFormat="1" applyFont="1" applyBorder="1" applyAlignment="1">
      <alignment horizontal="left" vertical="center"/>
    </xf>
    <xf numFmtId="49" fontId="11" fillId="0" borderId="0" xfId="0" applyNumberFormat="1" applyFont="1" applyFill="1" applyAlignment="1">
      <alignment vertical="center"/>
    </xf>
    <xf numFmtId="49" fontId="11" fillId="0" borderId="0" xfId="0" applyNumberFormat="1" applyFont="1" applyAlignment="1">
      <alignment horizontal="center" vertical="center"/>
    </xf>
    <xf numFmtId="49" fontId="11" fillId="0" borderId="0" xfId="0" applyNumberFormat="1" applyFont="1" applyBorder="1" applyAlignment="1">
      <alignment vertical="center"/>
    </xf>
    <xf numFmtId="49" fontId="10" fillId="0" borderId="0" xfId="0" applyNumberFormat="1" applyFont="1" applyFill="1" applyAlignment="1">
      <alignment vertical="center"/>
    </xf>
    <xf numFmtId="49" fontId="11" fillId="0" borderId="0" xfId="0" applyNumberFormat="1" applyFont="1" applyAlignment="1">
      <alignment vertical="center"/>
    </xf>
    <xf numFmtId="0" fontId="28" fillId="0" borderId="21" xfId="0" applyFont="1" applyBorder="1" applyAlignment="1">
      <alignment horizontal="center" vertical="center" wrapText="1"/>
    </xf>
    <xf numFmtId="0" fontId="25" fillId="0" borderId="15" xfId="0" applyFont="1" applyBorder="1" applyAlignment="1">
      <alignment horizontal="center" vertical="center"/>
    </xf>
    <xf numFmtId="49" fontId="10" fillId="0" borderId="0" xfId="0" applyNumberFormat="1" applyFont="1" applyAlignment="1">
      <alignment vertical="center"/>
    </xf>
    <xf numFmtId="49" fontId="9"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218" fontId="11" fillId="0" borderId="4" xfId="0" applyNumberFormat="1" applyFont="1" applyBorder="1" applyAlignment="1">
      <alignment horizontal="right" vertical="center"/>
    </xf>
    <xf numFmtId="218" fontId="11" fillId="0" borderId="1" xfId="0" applyNumberFormat="1" applyFont="1" applyBorder="1" applyAlignment="1">
      <alignment horizontal="right" vertical="center"/>
    </xf>
    <xf numFmtId="218" fontId="11" fillId="0" borderId="9" xfId="0" applyNumberFormat="1" applyFont="1" applyBorder="1" applyAlignment="1">
      <alignment horizontal="right" vertical="center"/>
    </xf>
    <xf numFmtId="0" fontId="26" fillId="0" borderId="14"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xf>
    <xf numFmtId="0" fontId="26" fillId="0" borderId="8" xfId="0" applyFont="1" applyBorder="1" applyAlignment="1">
      <alignment horizontal="center" vertical="center" wrapText="1"/>
    </xf>
    <xf numFmtId="0" fontId="26" fillId="0" borderId="0" xfId="0" applyFont="1" applyBorder="1" applyAlignment="1">
      <alignment horizontal="right" vertical="center"/>
    </xf>
    <xf numFmtId="0" fontId="29" fillId="0" borderId="11" xfId="0" applyFont="1" applyBorder="1" applyAlignment="1">
      <alignment horizontal="left" vertical="center" wrapText="1"/>
    </xf>
    <xf numFmtId="218" fontId="28" fillId="0" borderId="3" xfId="0" applyNumberFormat="1" applyFont="1" applyBorder="1" applyAlignment="1">
      <alignment horizontal="right" vertical="center"/>
    </xf>
    <xf numFmtId="218" fontId="28" fillId="0" borderId="1" xfId="0" applyNumberFormat="1" applyFont="1" applyBorder="1" applyAlignment="1">
      <alignment horizontal="right" vertical="center"/>
    </xf>
    <xf numFmtId="0" fontId="29" fillId="0" borderId="12" xfId="0" applyFont="1" applyBorder="1" applyAlignment="1">
      <alignment horizontal="left" vertical="center" wrapText="1"/>
    </xf>
    <xf numFmtId="218" fontId="28" fillId="0" borderId="7" xfId="0" applyNumberFormat="1" applyFont="1" applyBorder="1" applyAlignment="1">
      <alignment horizontal="right" vertical="center"/>
    </xf>
    <xf numFmtId="218" fontId="28" fillId="0" borderId="8" xfId="0" applyNumberFormat="1" applyFont="1" applyBorder="1" applyAlignment="1">
      <alignment horizontal="right"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1" xfId="0" applyFont="1" applyBorder="1" applyAlignment="1">
      <alignment horizontal="center" vertical="center" wrapText="1"/>
    </xf>
    <xf numFmtId="218" fontId="25" fillId="0" borderId="3" xfId="0" applyNumberFormat="1" applyFont="1" applyBorder="1" applyAlignment="1">
      <alignment horizontal="right" vertical="center"/>
    </xf>
    <xf numFmtId="179" fontId="25" fillId="0" borderId="3" xfId="0" applyNumberFormat="1" applyFont="1" applyBorder="1" applyAlignment="1">
      <alignment horizontal="right" vertical="center"/>
    </xf>
    <xf numFmtId="218" fontId="25" fillId="0" borderId="1" xfId="0" applyNumberFormat="1" applyFont="1" applyBorder="1" applyAlignment="1">
      <alignment horizontal="right" vertical="center"/>
    </xf>
    <xf numFmtId="0" fontId="25" fillId="0" borderId="11" xfId="0" applyFont="1" applyBorder="1" applyAlignment="1">
      <alignment horizontal="center" vertical="center"/>
    </xf>
    <xf numFmtId="179" fontId="25" fillId="0" borderId="1" xfId="0" applyNumberFormat="1" applyFont="1" applyBorder="1" applyAlignment="1">
      <alignment horizontal="right" vertical="center"/>
    </xf>
    <xf numFmtId="179" fontId="25" fillId="0" borderId="4" xfId="0" applyNumberFormat="1" applyFont="1" applyBorder="1" applyAlignment="1">
      <alignment horizontal="right" vertical="center"/>
    </xf>
    <xf numFmtId="218" fontId="25" fillId="0" borderId="7" xfId="0" applyNumberFormat="1" applyFont="1" applyBorder="1" applyAlignment="1">
      <alignment horizontal="right" vertical="center"/>
    </xf>
    <xf numFmtId="218" fontId="25" fillId="0" borderId="8" xfId="0" applyNumberFormat="1" applyFont="1" applyBorder="1" applyAlignment="1">
      <alignment horizontal="right" vertical="center"/>
    </xf>
    <xf numFmtId="0" fontId="28"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right" vertical="center"/>
    </xf>
    <xf numFmtId="179" fontId="28" fillId="0" borderId="1" xfId="0" applyNumberFormat="1" applyFont="1" applyBorder="1" applyAlignment="1">
      <alignment horizontal="right" vertical="center"/>
    </xf>
    <xf numFmtId="179" fontId="28" fillId="0" borderId="1" xfId="0" applyNumberFormat="1" applyFont="1" applyFill="1" applyBorder="1" applyAlignment="1">
      <alignment horizontal="right" vertical="center"/>
    </xf>
    <xf numFmtId="0" fontId="4" fillId="0" borderId="4" xfId="0" applyFont="1" applyBorder="1" applyAlignment="1">
      <alignment horizontal="center" vertical="center" wrapText="1"/>
    </xf>
    <xf numFmtId="179" fontId="28" fillId="0" borderId="8" xfId="0" applyNumberFormat="1" applyFont="1" applyBorder="1" applyAlignment="1">
      <alignment horizontal="right" vertical="center"/>
    </xf>
    <xf numFmtId="0" fontId="25" fillId="0" borderId="25" xfId="0" applyFont="1" applyBorder="1" applyAlignment="1">
      <alignment horizontal="distributed" vertical="center"/>
    </xf>
    <xf numFmtId="0" fontId="28" fillId="0" borderId="14" xfId="0" applyFont="1" applyBorder="1" applyAlignment="1">
      <alignment horizontal="center" vertical="center" wrapText="1"/>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179" fontId="25" fillId="0" borderId="7" xfId="0" applyNumberFormat="1" applyFont="1" applyBorder="1" applyAlignment="1">
      <alignment horizontal="right" vertical="center"/>
    </xf>
    <xf numFmtId="179" fontId="25" fillId="0" borderId="8" xfId="0" applyNumberFormat="1" applyFont="1" applyBorder="1" applyAlignment="1">
      <alignment horizontal="righ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0" fontId="25" fillId="0" borderId="16" xfId="0" applyFont="1" applyBorder="1" applyAlignment="1">
      <alignment horizontal="center" vertical="center" wrapText="1"/>
    </xf>
    <xf numFmtId="0" fontId="25" fillId="0" borderId="1" xfId="0" applyFont="1" applyBorder="1" applyAlignment="1">
      <alignment horizontal="center" vertical="center" wrapText="1"/>
    </xf>
    <xf numFmtId="208" fontId="25" fillId="0" borderId="11" xfId="0" applyNumberFormat="1" applyFont="1" applyBorder="1" applyAlignment="1">
      <alignment horizontal="center" vertical="center" wrapText="1"/>
    </xf>
    <xf numFmtId="208" fontId="25" fillId="0" borderId="11" xfId="0" applyNumberFormat="1" applyFont="1" applyFill="1" applyBorder="1" applyAlignment="1">
      <alignment horizontal="center" vertical="center" wrapText="1"/>
    </xf>
    <xf numFmtId="208" fontId="25" fillId="0" borderId="12" xfId="0" applyNumberFormat="1" applyFont="1" applyFill="1" applyBorder="1" applyAlignment="1">
      <alignment horizontal="center" vertical="center" wrapText="1"/>
    </xf>
    <xf numFmtId="208" fontId="4" fillId="0" borderId="11" xfId="0" applyNumberFormat="1" applyFont="1" applyBorder="1" applyAlignment="1">
      <alignment horizontal="center" vertical="center" wrapText="1"/>
    </xf>
    <xf numFmtId="49" fontId="11"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1" fillId="0" borderId="0" xfId="0" applyNumberFormat="1" applyFont="1" applyFill="1" applyAlignment="1">
      <alignment horizontal="left" vertical="center"/>
    </xf>
    <xf numFmtId="49" fontId="4" fillId="0" borderId="0" xfId="0" applyNumberFormat="1" applyFont="1" applyBorder="1" applyAlignment="1">
      <alignment vertical="center"/>
    </xf>
    <xf numFmtId="49" fontId="10" fillId="0" borderId="0" xfId="0" applyNumberFormat="1" applyFont="1" applyFill="1" applyAlignment="1">
      <alignment horizontal="left" vertical="center"/>
    </xf>
    <xf numFmtId="49" fontId="21" fillId="0" borderId="0" xfId="0" applyNumberFormat="1" applyFont="1" applyAlignment="1">
      <alignment horizontal="center"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25" fillId="0" borderId="3" xfId="0" applyFont="1" applyBorder="1" applyAlignment="1">
      <alignment horizontal="center" vertical="center" wrapText="1"/>
    </xf>
    <xf numFmtId="218" fontId="25" fillId="0" borderId="7" xfId="0" applyNumberFormat="1" applyFont="1" applyFill="1" applyBorder="1" applyAlignment="1">
      <alignment horizontal="right" vertical="center"/>
    </xf>
    <xf numFmtId="49" fontId="4" fillId="0" borderId="11" xfId="16" applyNumberFormat="1" applyFont="1" applyBorder="1" applyAlignment="1" quotePrefix="1">
      <alignment horizontal="center" vertical="center"/>
      <protection/>
    </xf>
    <xf numFmtId="49" fontId="4" fillId="0" borderId="11" xfId="16" applyNumberFormat="1" applyFont="1" applyBorder="1" applyAlignment="1">
      <alignment horizontal="left" vertical="center"/>
      <protection/>
    </xf>
    <xf numFmtId="49" fontId="4" fillId="0" borderId="12" xfId="16" applyNumberFormat="1" applyFont="1" applyFill="1" applyBorder="1" applyAlignment="1">
      <alignment horizontal="left" vertical="center"/>
      <protection/>
    </xf>
    <xf numFmtId="179" fontId="4" fillId="0" borderId="1" xfId="16" applyNumberFormat="1" applyFont="1" applyBorder="1" applyAlignment="1" quotePrefix="1">
      <alignment horizontal="right" vertical="center"/>
      <protection/>
    </xf>
    <xf numFmtId="179" fontId="4" fillId="0" borderId="4" xfId="16" applyNumberFormat="1" applyFont="1" applyBorder="1" applyAlignment="1">
      <alignment horizontal="right" vertical="center"/>
      <protection/>
    </xf>
    <xf numFmtId="179" fontId="4" fillId="0" borderId="4" xfId="16" applyNumberFormat="1" applyFont="1" applyBorder="1" applyAlignment="1" quotePrefix="1">
      <alignment horizontal="right" vertical="center"/>
      <protection/>
    </xf>
    <xf numFmtId="179" fontId="4" fillId="0" borderId="3" xfId="16" applyNumberFormat="1" applyFont="1" applyBorder="1" applyAlignment="1">
      <alignment horizontal="right" vertical="center"/>
      <protection/>
    </xf>
    <xf numFmtId="179" fontId="4" fillId="0" borderId="6" xfId="16" applyNumberFormat="1" applyFont="1" applyFill="1" applyBorder="1" applyAlignment="1" quotePrefix="1">
      <alignment horizontal="right" vertical="center"/>
      <protection/>
    </xf>
    <xf numFmtId="179" fontId="4" fillId="0" borderId="7" xfId="16" applyNumberFormat="1" applyFont="1" applyFill="1" applyBorder="1" applyAlignment="1" quotePrefix="1">
      <alignment horizontal="right" vertical="center"/>
      <protection/>
    </xf>
    <xf numFmtId="179" fontId="4" fillId="0" borderId="9" xfId="16" applyNumberFormat="1" applyFont="1" applyFill="1" applyBorder="1" applyAlignment="1">
      <alignment horizontal="right" vertical="center"/>
      <protection/>
    </xf>
    <xf numFmtId="179" fontId="25" fillId="0" borderId="0" xfId="0" applyNumberFormat="1" applyFont="1" applyBorder="1" applyAlignment="1">
      <alignment horizontal="right" vertical="center"/>
    </xf>
    <xf numFmtId="179" fontId="25" fillId="0" borderId="4" xfId="16" applyNumberFormat="1" applyFont="1" applyBorder="1" applyAlignment="1">
      <alignment horizontal="right" vertical="center"/>
      <protection/>
    </xf>
    <xf numFmtId="179" fontId="25" fillId="0" borderId="15" xfId="16" applyNumberFormat="1" applyFont="1" applyBorder="1" applyAlignment="1">
      <alignment horizontal="right" vertical="center"/>
      <protection/>
    </xf>
    <xf numFmtId="179" fontId="25" fillId="0" borderId="3" xfId="16" applyNumberFormat="1" applyFont="1" applyBorder="1" applyAlignment="1">
      <alignment horizontal="right" vertical="center"/>
      <protection/>
    </xf>
    <xf numFmtId="3" fontId="25" fillId="0" borderId="0" xfId="16" applyNumberFormat="1" applyFont="1" applyBorder="1" applyAlignment="1" quotePrefix="1">
      <alignment horizontal="left" vertical="center"/>
      <protection/>
    </xf>
    <xf numFmtId="179" fontId="25" fillId="0" borderId="1" xfId="16" applyNumberFormat="1" applyFont="1" applyBorder="1" applyAlignment="1">
      <alignment horizontal="right" vertical="center"/>
      <protection/>
    </xf>
    <xf numFmtId="179" fontId="25" fillId="0" borderId="2" xfId="16" applyNumberFormat="1" applyFont="1" applyBorder="1" applyAlignment="1">
      <alignment horizontal="right" vertical="center"/>
      <protection/>
    </xf>
    <xf numFmtId="3" fontId="25" fillId="0" borderId="5" xfId="16" applyNumberFormat="1" applyFont="1" applyFill="1" applyBorder="1" applyAlignment="1" quotePrefix="1">
      <alignment horizontal="left" vertical="center"/>
      <protection/>
    </xf>
    <xf numFmtId="179" fontId="25" fillId="0" borderId="7" xfId="16" applyNumberFormat="1" applyFont="1" applyFill="1" applyBorder="1" applyAlignment="1">
      <alignment horizontal="right" vertical="center"/>
      <protection/>
    </xf>
    <xf numFmtId="179" fontId="25" fillId="0" borderId="8" xfId="16" applyNumberFormat="1" applyFont="1" applyFill="1" applyBorder="1" applyAlignment="1">
      <alignment horizontal="right" vertical="center"/>
      <protection/>
    </xf>
    <xf numFmtId="0" fontId="26" fillId="0" borderId="13" xfId="0" applyFont="1" applyBorder="1" applyAlignment="1">
      <alignment horizontal="center" vertical="center"/>
    </xf>
    <xf numFmtId="0" fontId="26" fillId="0" borderId="23"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wrapText="1"/>
    </xf>
    <xf numFmtId="0" fontId="26" fillId="0" borderId="11" xfId="0" applyFont="1" applyBorder="1" applyAlignment="1">
      <alignment horizontal="left" vertical="center" wrapText="1"/>
    </xf>
    <xf numFmtId="188" fontId="26" fillId="0" borderId="1" xfId="0" applyNumberFormat="1" applyFont="1" applyBorder="1" applyAlignment="1">
      <alignment horizontal="right" vertical="center"/>
    </xf>
    <xf numFmtId="188" fontId="26" fillId="0" borderId="3" xfId="0" applyNumberFormat="1" applyFont="1" applyBorder="1" applyAlignment="1">
      <alignment horizontal="right" vertical="center"/>
    </xf>
    <xf numFmtId="188" fontId="26" fillId="0" borderId="4" xfId="0" applyNumberFormat="1" applyFont="1" applyBorder="1" applyAlignment="1">
      <alignment horizontal="right" vertical="center"/>
    </xf>
    <xf numFmtId="208" fontId="26" fillId="0" borderId="11" xfId="0" applyNumberFormat="1" applyFont="1" applyBorder="1" applyAlignment="1">
      <alignment horizontal="left" vertical="center" wrapText="1"/>
    </xf>
    <xf numFmtId="0" fontId="4" fillId="0" borderId="13" xfId="0" applyFont="1" applyBorder="1" applyAlignment="1">
      <alignment horizontal="distributed" vertical="center"/>
    </xf>
    <xf numFmtId="208" fontId="26" fillId="0" borderId="11" xfId="0" applyNumberFormat="1" applyFont="1" applyFill="1" applyBorder="1" applyAlignment="1">
      <alignment horizontal="left" vertical="center" wrapText="1"/>
    </xf>
    <xf numFmtId="0" fontId="26" fillId="0" borderId="0" xfId="0" applyFont="1" applyBorder="1" applyAlignment="1">
      <alignment horizontal="left" vertical="center"/>
    </xf>
    <xf numFmtId="0" fontId="26" fillId="0" borderId="5" xfId="0" applyFont="1" applyBorder="1" applyAlignment="1">
      <alignment horizontal="left" vertical="center"/>
    </xf>
    <xf numFmtId="188" fontId="26" fillId="0" borderId="8" xfId="0" applyNumberFormat="1" applyFont="1" applyBorder="1" applyAlignment="1">
      <alignment horizontal="right" vertical="center"/>
    </xf>
    <xf numFmtId="208" fontId="8" fillId="0" borderId="11" xfId="0" applyNumberFormat="1" applyFont="1" applyBorder="1" applyAlignment="1">
      <alignment horizontal="left" vertical="center" wrapText="1"/>
    </xf>
    <xf numFmtId="208" fontId="8" fillId="0" borderId="11" xfId="0" applyNumberFormat="1" applyFont="1" applyFill="1" applyBorder="1" applyAlignment="1">
      <alignment horizontal="left" vertical="center" wrapText="1"/>
    </xf>
    <xf numFmtId="0" fontId="26" fillId="0" borderId="11" xfId="0" applyFont="1" applyBorder="1" applyAlignment="1">
      <alignment horizontal="center"/>
    </xf>
    <xf numFmtId="0" fontId="26" fillId="0" borderId="26" xfId="0" applyFont="1" applyBorder="1" applyAlignment="1">
      <alignment horizontal="center" vertical="center" wrapText="1"/>
    </xf>
    <xf numFmtId="188" fontId="25" fillId="0" borderId="3" xfId="16" applyNumberFormat="1" applyFont="1" applyBorder="1" applyAlignment="1">
      <alignment horizontal="right" vertical="center"/>
      <protection/>
    </xf>
    <xf numFmtId="188" fontId="25" fillId="0" borderId="7" xfId="16" applyNumberFormat="1" applyFont="1" applyBorder="1" applyAlignment="1">
      <alignment horizontal="right" vertical="center"/>
      <protection/>
    </xf>
    <xf numFmtId="179" fontId="20" fillId="0" borderId="1" xfId="0" applyNumberFormat="1" applyFont="1" applyBorder="1" applyAlignment="1">
      <alignment horizontal="right" vertical="center"/>
    </xf>
    <xf numFmtId="179" fontId="4" fillId="0" borderId="0" xfId="0" applyNumberFormat="1" applyFont="1" applyBorder="1" applyAlignment="1" quotePrefix="1">
      <alignment horizontal="right" vertical="center"/>
    </xf>
    <xf numFmtId="179" fontId="4" fillId="0" borderId="4" xfId="0" applyNumberFormat="1" applyFont="1" applyBorder="1" applyAlignment="1" quotePrefix="1">
      <alignment horizontal="right" vertical="center"/>
    </xf>
    <xf numFmtId="179" fontId="4" fillId="0" borderId="1" xfId="0" applyNumberFormat="1" applyFont="1" applyFill="1" applyBorder="1" applyAlignment="1">
      <alignment horizontal="right" vertical="center"/>
    </xf>
    <xf numFmtId="179" fontId="20" fillId="0" borderId="8" xfId="0" applyNumberFormat="1" applyFont="1" applyBorder="1" applyAlignment="1">
      <alignment horizontal="right" vertical="center"/>
    </xf>
    <xf numFmtId="179" fontId="4" fillId="0" borderId="5" xfId="0" applyNumberFormat="1" applyFont="1" applyBorder="1" applyAlignment="1" quotePrefix="1">
      <alignment horizontal="right" vertical="center"/>
    </xf>
    <xf numFmtId="179" fontId="4" fillId="0" borderId="9" xfId="0" applyNumberFormat="1" applyFont="1" applyBorder="1" applyAlignment="1" quotePrefix="1">
      <alignment horizontal="right" vertical="center"/>
    </xf>
    <xf numFmtId="179" fontId="30" fillId="0" borderId="3" xfId="0" applyNumberFormat="1" applyFont="1" applyBorder="1" applyAlignment="1">
      <alignment horizontal="right" vertical="center"/>
    </xf>
    <xf numFmtId="179" fontId="25" fillId="0" borderId="1" xfId="0" applyNumberFormat="1" applyFont="1" applyFill="1" applyBorder="1" applyAlignment="1">
      <alignment horizontal="right" vertical="center"/>
    </xf>
    <xf numFmtId="0" fontId="26" fillId="0" borderId="12" xfId="0" applyFont="1" applyBorder="1" applyAlignment="1">
      <alignment horizontal="left" vertical="center" wrapText="1"/>
    </xf>
    <xf numFmtId="0" fontId="3"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xf>
    <xf numFmtId="179" fontId="4" fillId="0" borderId="0" xfId="0" applyNumberFormat="1" applyFont="1" applyBorder="1" applyAlignment="1">
      <alignment vertical="center"/>
    </xf>
    <xf numFmtId="179" fontId="4" fillId="0" borderId="5" xfId="0" applyNumberFormat="1" applyFont="1" applyBorder="1" applyAlignment="1">
      <alignment vertical="center"/>
    </xf>
    <xf numFmtId="179" fontId="4" fillId="0" borderId="0" xfId="0" applyNumberFormat="1" applyFont="1" applyBorder="1" applyAlignment="1">
      <alignment horizontal="right"/>
    </xf>
    <xf numFmtId="179" fontId="4" fillId="0" borderId="3" xfId="0" applyNumberFormat="1" applyFont="1" applyBorder="1" applyAlignment="1">
      <alignment horizontal="right"/>
    </xf>
    <xf numFmtId="179" fontId="4" fillId="0" borderId="0" xfId="0" applyNumberFormat="1" applyFont="1" applyAlignment="1">
      <alignment horizontal="right"/>
    </xf>
    <xf numFmtId="179" fontId="25" fillId="0" borderId="3" xfId="0" applyNumberFormat="1" applyFont="1" applyBorder="1" applyAlignment="1">
      <alignment horizontal="right"/>
    </xf>
    <xf numFmtId="179" fontId="25" fillId="0" borderId="1" xfId="0" applyNumberFormat="1" applyFont="1" applyBorder="1" applyAlignment="1">
      <alignment horizontal="right"/>
    </xf>
    <xf numFmtId="0" fontId="4" fillId="0" borderId="0" xfId="0" applyFont="1" applyAlignment="1">
      <alignment horizontal="center"/>
    </xf>
    <xf numFmtId="0" fontId="4" fillId="0" borderId="0" xfId="0" applyFont="1" applyAlignment="1">
      <alignment horizontal="left"/>
    </xf>
    <xf numFmtId="179" fontId="20" fillId="0" borderId="6" xfId="0" applyNumberFormat="1" applyFont="1" applyBorder="1" applyAlignment="1">
      <alignment horizontal="right" vertical="center"/>
    </xf>
    <xf numFmtId="179" fontId="4" fillId="0" borderId="9" xfId="0" applyNumberFormat="1" applyFont="1" applyBorder="1" applyAlignment="1">
      <alignment vertical="center"/>
    </xf>
    <xf numFmtId="199" fontId="25" fillId="0" borderId="1" xfId="0" applyNumberFormat="1" applyFont="1" applyBorder="1" applyAlignment="1">
      <alignment horizontal="right" vertical="center"/>
    </xf>
    <xf numFmtId="199" fontId="25" fillId="0" borderId="0" xfId="0" applyNumberFormat="1" applyFont="1" applyBorder="1" applyAlignment="1">
      <alignment horizontal="right" vertical="center"/>
    </xf>
    <xf numFmtId="208" fontId="4" fillId="0" borderId="11"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25"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25" fillId="0" borderId="15" xfId="0" applyFont="1" applyBorder="1" applyAlignment="1">
      <alignment horizontal="center" vertical="center"/>
    </xf>
    <xf numFmtId="0" fontId="4" fillId="0" borderId="4" xfId="0" applyFont="1" applyBorder="1" applyAlignment="1">
      <alignment horizontal="center" vertical="center"/>
    </xf>
    <xf numFmtId="0" fontId="25" fillId="0" borderId="14" xfId="0" applyFont="1" applyBorder="1" applyAlignment="1">
      <alignment horizontal="center" vertical="center"/>
    </xf>
    <xf numFmtId="0" fontId="4" fillId="0" borderId="2" xfId="0" applyFont="1" applyBorder="1" applyAlignment="1">
      <alignment vertical="center"/>
    </xf>
    <xf numFmtId="0" fontId="25" fillId="0" borderId="18" xfId="0" applyFont="1" applyBorder="1" applyAlignment="1">
      <alignment horizontal="center" vertical="center"/>
    </xf>
    <xf numFmtId="0" fontId="25" fillId="0" borderId="27" xfId="0" applyFont="1" applyBorder="1" applyAlignment="1">
      <alignment horizontal="distributed" vertical="center"/>
    </xf>
    <xf numFmtId="0" fontId="4" fillId="0" borderId="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1" xfId="0" applyFont="1" applyBorder="1" applyAlignment="1">
      <alignment horizontal="distributed" vertical="center" wrapText="1"/>
    </xf>
    <xf numFmtId="0" fontId="4" fillId="0" borderId="11" xfId="0" applyFont="1" applyBorder="1" applyAlignment="1">
      <alignment horizontal="distributed" vertical="center" wrapText="1"/>
    </xf>
    <xf numFmtId="0" fontId="25"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25" fillId="0" borderId="18"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25" fillId="0" borderId="27"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xf>
    <xf numFmtId="0" fontId="2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26" fillId="0" borderId="25" xfId="0" applyFont="1" applyBorder="1" applyAlignment="1">
      <alignment horizontal="distributed" vertical="center"/>
    </xf>
    <xf numFmtId="0" fontId="8" fillId="0" borderId="21" xfId="0" applyFont="1" applyBorder="1" applyAlignment="1">
      <alignment horizontal="distributed" vertical="center"/>
    </xf>
    <xf numFmtId="0" fontId="7" fillId="0" borderId="0" xfId="0" applyFont="1" applyAlignment="1">
      <alignment horizontal="center" vertical="center" wrapText="1"/>
    </xf>
    <xf numFmtId="0" fontId="2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28" fillId="0" borderId="25" xfId="0" applyFont="1" applyBorder="1" applyAlignment="1">
      <alignment horizontal="distributed" vertical="center"/>
    </xf>
    <xf numFmtId="0" fontId="11" fillId="0" borderId="21" xfId="0" applyFont="1" applyBorder="1" applyAlignment="1">
      <alignment horizontal="distributed" vertical="center"/>
    </xf>
    <xf numFmtId="0" fontId="25" fillId="0" borderId="25" xfId="0" applyFont="1" applyBorder="1" applyAlignment="1">
      <alignment horizontal="distributed" vertical="center"/>
    </xf>
    <xf numFmtId="0" fontId="4" fillId="0" borderId="21" xfId="0" applyFont="1" applyBorder="1" applyAlignment="1">
      <alignment horizontal="distributed"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44" fontId="25" fillId="0" borderId="14" xfId="22" applyFont="1" applyBorder="1" applyAlignment="1">
      <alignment horizontal="center" vertical="center" wrapText="1"/>
    </xf>
    <xf numFmtId="44" fontId="4" fillId="0" borderId="2" xfId="22" applyFont="1" applyBorder="1" applyAlignment="1">
      <alignment horizontal="center" vertical="center" wrapText="1"/>
    </xf>
    <xf numFmtId="0" fontId="25"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25" fillId="0" borderId="27" xfId="0" applyFont="1" applyBorder="1" applyAlignment="1">
      <alignment horizontal="center" vertical="center"/>
    </xf>
    <xf numFmtId="0" fontId="26"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26" fillId="0" borderId="24" xfId="0" applyFont="1" applyBorder="1" applyAlignment="1">
      <alignment horizontal="center" vertical="center" wrapText="1"/>
    </xf>
    <xf numFmtId="0" fontId="8" fillId="0" borderId="4" xfId="0" applyFont="1" applyBorder="1" applyAlignment="1">
      <alignment horizontal="center" vertical="center" wrapText="1"/>
    </xf>
    <xf numFmtId="188" fontId="26" fillId="0" borderId="22" xfId="0" applyNumberFormat="1" applyFont="1" applyBorder="1" applyAlignment="1">
      <alignment horizontal="center" vertical="center"/>
    </xf>
    <xf numFmtId="188" fontId="8" fillId="0" borderId="2"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6" fillId="0" borderId="21" xfId="0" applyFont="1" applyBorder="1" applyAlignment="1">
      <alignment horizontal="center" wrapText="1"/>
    </xf>
    <xf numFmtId="0" fontId="8" fillId="0" borderId="11" xfId="0" applyFont="1" applyBorder="1" applyAlignment="1">
      <alignment horizontal="center" wrapText="1"/>
    </xf>
    <xf numFmtId="0" fontId="26" fillId="0" borderId="29" xfId="0" applyFont="1" applyBorder="1" applyAlignment="1">
      <alignment horizontal="distributed" vertical="center"/>
    </xf>
    <xf numFmtId="0" fontId="8" fillId="0" borderId="19" xfId="0" applyFont="1" applyBorder="1" applyAlignment="1">
      <alignment horizontal="distributed" vertical="center"/>
    </xf>
    <xf numFmtId="0" fontId="8" fillId="0" borderId="3" xfId="0" applyFont="1" applyBorder="1" applyAlignment="1">
      <alignment horizontal="center" vertical="center"/>
    </xf>
    <xf numFmtId="0" fontId="26" fillId="0" borderId="15" xfId="0" applyFont="1" applyBorder="1" applyAlignment="1">
      <alignment horizontal="center" vertical="center"/>
    </xf>
    <xf numFmtId="0" fontId="8" fillId="0" borderId="4" xfId="0" applyFont="1" applyBorder="1" applyAlignment="1">
      <alignment horizontal="center" vertical="center"/>
    </xf>
    <xf numFmtId="0" fontId="26" fillId="0" borderId="19" xfId="0" applyFont="1" applyBorder="1" applyAlignment="1">
      <alignment horizontal="center" vertical="center" wrapText="1"/>
    </xf>
    <xf numFmtId="0" fontId="8" fillId="0" borderId="20" xfId="0" applyFont="1" applyBorder="1" applyAlignment="1">
      <alignment horizontal="center" vertical="center"/>
    </xf>
    <xf numFmtId="0" fontId="4" fillId="0" borderId="5" xfId="0" applyFont="1" applyBorder="1" applyAlignment="1">
      <alignment horizontal="center" vertical="center" wrapText="1"/>
    </xf>
    <xf numFmtId="0" fontId="25" fillId="0" borderId="25" xfId="0" applyFont="1" applyBorder="1" applyAlignment="1">
      <alignment horizontal="center" vertical="center"/>
    </xf>
    <xf numFmtId="0" fontId="4" fillId="0" borderId="21" xfId="0" applyFont="1" applyBorder="1" applyAlignment="1">
      <alignment horizontal="center" vertical="center"/>
    </xf>
    <xf numFmtId="0" fontId="31" fillId="0" borderId="0" xfId="0" applyFont="1" applyAlignment="1">
      <alignment horizontal="center" vertical="center"/>
    </xf>
    <xf numFmtId="0" fontId="25" fillId="0" borderId="13" xfId="0" applyFont="1" applyBorder="1" applyAlignment="1">
      <alignment horizontal="center" vertical="center" wrapText="1"/>
    </xf>
    <xf numFmtId="0" fontId="4" fillId="0" borderId="2" xfId="0" applyFont="1" applyBorder="1" applyAlignment="1">
      <alignment horizontal="center" vertical="center"/>
    </xf>
    <xf numFmtId="0" fontId="25" fillId="0" borderId="10" xfId="0" applyFont="1" applyBorder="1" applyAlignment="1">
      <alignment horizontal="center" vertical="center"/>
    </xf>
    <xf numFmtId="0" fontId="4" fillId="0" borderId="3" xfId="0" applyFont="1" applyBorder="1" applyAlignment="1">
      <alignment horizontal="center" vertical="center"/>
    </xf>
  </cellXfs>
  <cellStyles count="10">
    <cellStyle name="Normal" xfId="0"/>
    <cellStyle name="sample" xfId="15"/>
    <cellStyle name="一般_6-9" xfId="16"/>
    <cellStyle name="一般_二.存款貨幣機構存款餘額xls_bs5" xfId="17"/>
    <cellStyle name="Comma" xfId="18"/>
    <cellStyle name="Comma [0]" xfId="19"/>
    <cellStyle name="年資料"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0</xdr:rowOff>
    </xdr:from>
    <xdr:to>
      <xdr:col>2</xdr:col>
      <xdr:colOff>209550</xdr:colOff>
      <xdr:row>7</xdr:row>
      <xdr:rowOff>0</xdr:rowOff>
    </xdr:to>
    <xdr:sp>
      <xdr:nvSpPr>
        <xdr:cNvPr id="1" name="TextBox 1"/>
        <xdr:cNvSpPr txBox="1">
          <a:spLocks noChangeArrowheads="1"/>
        </xdr:cNvSpPr>
      </xdr:nvSpPr>
      <xdr:spPr>
        <a:xfrm>
          <a:off x="2095500" y="2505075"/>
          <a:ext cx="171450" cy="0"/>
        </a:xfrm>
        <a:prstGeom prst="rect">
          <a:avLst/>
        </a:prstGeom>
        <a:noFill/>
        <a:ln w="9525" cmpd="sng">
          <a:noFill/>
        </a:ln>
      </xdr:spPr>
      <xdr:txBody>
        <a:bodyPr vertOverflow="clip" wrap="square"/>
        <a:p>
          <a:pPr algn="l">
            <a:defRPr/>
          </a:pPr>
          <a:r>
            <a:rPr lang="en-US" cap="none" sz="750" b="0" i="0" u="none"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9"/>
  </sheetPr>
  <dimension ref="A1:M30"/>
  <sheetViews>
    <sheetView showGridLines="0" tabSelected="1" zoomScale="120" zoomScaleNormal="120" workbookViewId="0" topLeftCell="A1">
      <selection activeCell="A1" sqref="A1"/>
    </sheetView>
  </sheetViews>
  <sheetFormatPr defaultColWidth="9.00390625" defaultRowHeight="16.5"/>
  <cols>
    <col min="1" max="1" width="12.625" style="14" customWidth="1"/>
    <col min="2" max="10" width="7.125" style="14" customWidth="1"/>
    <col min="11" max="16384" width="9.00390625" style="14" customWidth="1"/>
  </cols>
  <sheetData>
    <row r="1" s="15" customFormat="1" ht="19.5" customHeight="1">
      <c r="J1" s="53" t="s">
        <v>751</v>
      </c>
    </row>
    <row r="2" spans="1:10" s="17" customFormat="1" ht="35.25" customHeight="1">
      <c r="A2" s="440" t="s">
        <v>748</v>
      </c>
      <c r="B2" s="441"/>
      <c r="C2" s="441"/>
      <c r="D2" s="441"/>
      <c r="E2" s="441"/>
      <c r="F2" s="441"/>
      <c r="G2" s="441"/>
      <c r="H2" s="441"/>
      <c r="I2" s="441"/>
      <c r="J2" s="441"/>
    </row>
    <row r="3" s="15" customFormat="1" ht="13.5" customHeight="1">
      <c r="J3" s="32" t="s">
        <v>715</v>
      </c>
    </row>
    <row r="4" spans="1:10" s="15" customFormat="1" ht="13.5" customHeight="1" thickBot="1">
      <c r="A4" s="7"/>
      <c r="B4" s="35"/>
      <c r="C4" s="35"/>
      <c r="D4" s="16"/>
      <c r="E4" s="16"/>
      <c r="F4" s="35"/>
      <c r="G4" s="35"/>
      <c r="H4" s="35"/>
      <c r="J4" s="26" t="s">
        <v>744</v>
      </c>
    </row>
    <row r="5" spans="1:10" s="15" customFormat="1" ht="24.75" customHeight="1">
      <c r="A5" s="437" t="s">
        <v>716</v>
      </c>
      <c r="B5" s="433" t="s">
        <v>717</v>
      </c>
      <c r="C5" s="434"/>
      <c r="D5" s="434"/>
      <c r="E5" s="434"/>
      <c r="F5" s="435"/>
      <c r="G5" s="436" t="s">
        <v>718</v>
      </c>
      <c r="H5" s="434"/>
      <c r="I5" s="434"/>
      <c r="J5" s="434"/>
    </row>
    <row r="6" spans="1:10" s="15" customFormat="1" ht="24.75" customHeight="1">
      <c r="A6" s="438"/>
      <c r="B6" s="242" t="s">
        <v>697</v>
      </c>
      <c r="C6" s="243" t="s">
        <v>698</v>
      </c>
      <c r="D6" s="243" t="s">
        <v>699</v>
      </c>
      <c r="E6" s="243" t="s">
        <v>700</v>
      </c>
      <c r="F6" s="244" t="s">
        <v>701</v>
      </c>
      <c r="G6" s="244" t="s">
        <v>697</v>
      </c>
      <c r="H6" s="243" t="s">
        <v>698</v>
      </c>
      <c r="I6" s="243" t="s">
        <v>699</v>
      </c>
      <c r="J6" s="245" t="s">
        <v>700</v>
      </c>
    </row>
    <row r="7" spans="1:10" s="15" customFormat="1" ht="45" customHeight="1" thickBot="1">
      <c r="A7" s="439"/>
      <c r="B7" s="18" t="s">
        <v>702</v>
      </c>
      <c r="C7" s="19" t="s">
        <v>703</v>
      </c>
      <c r="D7" s="19" t="s">
        <v>704</v>
      </c>
      <c r="E7" s="19" t="s">
        <v>705</v>
      </c>
      <c r="F7" s="19" t="s">
        <v>706</v>
      </c>
      <c r="G7" s="19" t="s">
        <v>702</v>
      </c>
      <c r="H7" s="19" t="s">
        <v>703</v>
      </c>
      <c r="I7" s="19" t="s">
        <v>704</v>
      </c>
      <c r="J7" s="21" t="s">
        <v>705</v>
      </c>
    </row>
    <row r="8" spans="1:13" s="73" customFormat="1" ht="24.75" customHeight="1">
      <c r="A8" s="246" t="s">
        <v>707</v>
      </c>
      <c r="B8" s="78">
        <v>6311</v>
      </c>
      <c r="C8" s="79">
        <v>91</v>
      </c>
      <c r="D8" s="79">
        <v>114</v>
      </c>
      <c r="E8" s="79">
        <v>821</v>
      </c>
      <c r="F8" s="79">
        <v>1868</v>
      </c>
      <c r="G8" s="80">
        <v>5202</v>
      </c>
      <c r="H8" s="80">
        <v>81</v>
      </c>
      <c r="I8" s="80">
        <v>96</v>
      </c>
      <c r="J8" s="81">
        <v>425</v>
      </c>
      <c r="L8" s="74"/>
      <c r="M8" s="74"/>
    </row>
    <row r="9" spans="1:13" s="73" customFormat="1" ht="24.75" customHeight="1">
      <c r="A9" s="246" t="s">
        <v>708</v>
      </c>
      <c r="B9" s="82">
        <v>7141</v>
      </c>
      <c r="C9" s="83">
        <v>102</v>
      </c>
      <c r="D9" s="83">
        <v>128</v>
      </c>
      <c r="E9" s="83">
        <v>866</v>
      </c>
      <c r="F9" s="83">
        <v>1888</v>
      </c>
      <c r="G9" s="84">
        <v>5719</v>
      </c>
      <c r="H9" s="84">
        <v>124</v>
      </c>
      <c r="I9" s="84">
        <v>79</v>
      </c>
      <c r="J9" s="85">
        <v>403</v>
      </c>
      <c r="L9" s="74"/>
      <c r="M9" s="74"/>
    </row>
    <row r="10" spans="1:13" s="73" customFormat="1" ht="24.75" customHeight="1">
      <c r="A10" s="246" t="s">
        <v>709</v>
      </c>
      <c r="B10" s="82">
        <v>7777</v>
      </c>
      <c r="C10" s="83">
        <v>126</v>
      </c>
      <c r="D10" s="83">
        <v>113</v>
      </c>
      <c r="E10" s="83">
        <v>928</v>
      </c>
      <c r="F10" s="83">
        <v>2098</v>
      </c>
      <c r="G10" s="84">
        <v>5837</v>
      </c>
      <c r="H10" s="84">
        <v>100</v>
      </c>
      <c r="I10" s="84">
        <v>64</v>
      </c>
      <c r="J10" s="85">
        <v>387</v>
      </c>
      <c r="L10" s="74"/>
      <c r="M10" s="74"/>
    </row>
    <row r="11" spans="1:13" s="73" customFormat="1" ht="24.75" customHeight="1">
      <c r="A11" s="246" t="s">
        <v>710</v>
      </c>
      <c r="B11" s="82">
        <v>8118</v>
      </c>
      <c r="C11" s="83">
        <v>156</v>
      </c>
      <c r="D11" s="83">
        <v>82</v>
      </c>
      <c r="E11" s="83">
        <v>927</v>
      </c>
      <c r="F11" s="83">
        <v>2312</v>
      </c>
      <c r="G11" s="84">
        <v>6204</v>
      </c>
      <c r="H11" s="84">
        <v>99</v>
      </c>
      <c r="I11" s="84">
        <v>43</v>
      </c>
      <c r="J11" s="85">
        <v>377</v>
      </c>
      <c r="L11" s="74"/>
      <c r="M11" s="74"/>
    </row>
    <row r="12" spans="1:13" s="73" customFormat="1" ht="9" customHeight="1">
      <c r="A12" s="75"/>
      <c r="B12" s="82"/>
      <c r="C12" s="83"/>
      <c r="D12" s="83"/>
      <c r="E12" s="83"/>
      <c r="F12" s="83"/>
      <c r="G12" s="84"/>
      <c r="H12" s="84"/>
      <c r="I12" s="84"/>
      <c r="J12" s="85"/>
      <c r="L12" s="74"/>
      <c r="M12" s="74"/>
    </row>
    <row r="13" spans="1:13" s="73" customFormat="1" ht="24.75" customHeight="1">
      <c r="A13" s="246" t="s">
        <v>711</v>
      </c>
      <c r="B13" s="82"/>
      <c r="C13" s="83"/>
      <c r="D13" s="83"/>
      <c r="E13" s="83"/>
      <c r="F13" s="83"/>
      <c r="G13" s="84"/>
      <c r="H13" s="84"/>
      <c r="I13" s="84"/>
      <c r="J13" s="85"/>
      <c r="L13" s="74"/>
      <c r="M13" s="74"/>
    </row>
    <row r="14" spans="1:13" s="73" customFormat="1" ht="24.75" customHeight="1">
      <c r="A14" s="247" t="s">
        <v>719</v>
      </c>
      <c r="B14" s="82">
        <v>8370</v>
      </c>
      <c r="C14" s="83">
        <v>159</v>
      </c>
      <c r="D14" s="83">
        <v>93</v>
      </c>
      <c r="E14" s="83">
        <v>923</v>
      </c>
      <c r="F14" s="83">
        <v>2472</v>
      </c>
      <c r="G14" s="84">
        <v>6142</v>
      </c>
      <c r="H14" s="84">
        <v>96</v>
      </c>
      <c r="I14" s="84">
        <v>35</v>
      </c>
      <c r="J14" s="85">
        <v>378</v>
      </c>
      <c r="L14" s="74"/>
      <c r="M14" s="74"/>
    </row>
    <row r="15" spans="1:13" s="73" customFormat="1" ht="24.75" customHeight="1">
      <c r="A15" s="247" t="s">
        <v>720</v>
      </c>
      <c r="B15" s="82">
        <v>8809</v>
      </c>
      <c r="C15" s="83">
        <v>152</v>
      </c>
      <c r="D15" s="83">
        <v>87</v>
      </c>
      <c r="E15" s="83">
        <v>871</v>
      </c>
      <c r="F15" s="83">
        <v>2507</v>
      </c>
      <c r="G15" s="84">
        <v>6207</v>
      </c>
      <c r="H15" s="84">
        <v>91</v>
      </c>
      <c r="I15" s="84">
        <v>32</v>
      </c>
      <c r="J15" s="85">
        <v>393</v>
      </c>
      <c r="L15" s="74"/>
      <c r="M15" s="74"/>
    </row>
    <row r="16" spans="1:13" s="73" customFormat="1" ht="9" customHeight="1">
      <c r="A16" s="232"/>
      <c r="B16" s="82"/>
      <c r="C16" s="83"/>
      <c r="D16" s="83"/>
      <c r="E16" s="83"/>
      <c r="F16" s="83"/>
      <c r="G16" s="84"/>
      <c r="H16" s="84"/>
      <c r="I16" s="84"/>
      <c r="J16" s="85"/>
      <c r="L16" s="74"/>
      <c r="M16" s="74"/>
    </row>
    <row r="17" spans="1:13" s="73" customFormat="1" ht="24.75" customHeight="1">
      <c r="A17" s="246" t="s">
        <v>712</v>
      </c>
      <c r="B17" s="82"/>
      <c r="C17" s="83"/>
      <c r="D17" s="83"/>
      <c r="E17" s="83"/>
      <c r="F17" s="83"/>
      <c r="G17" s="84"/>
      <c r="H17" s="84"/>
      <c r="I17" s="84"/>
      <c r="J17" s="85"/>
      <c r="L17" s="74"/>
      <c r="M17" s="74"/>
    </row>
    <row r="18" spans="1:13" s="73" customFormat="1" ht="24.75" customHeight="1">
      <c r="A18" s="247" t="s">
        <v>719</v>
      </c>
      <c r="B18" s="82">
        <v>8876</v>
      </c>
      <c r="C18" s="83">
        <v>139</v>
      </c>
      <c r="D18" s="83">
        <v>86</v>
      </c>
      <c r="E18" s="83">
        <v>875</v>
      </c>
      <c r="F18" s="83">
        <v>2540</v>
      </c>
      <c r="G18" s="84">
        <v>5975</v>
      </c>
      <c r="H18" s="84">
        <v>83</v>
      </c>
      <c r="I18" s="84">
        <v>23</v>
      </c>
      <c r="J18" s="85">
        <v>389</v>
      </c>
      <c r="L18" s="74"/>
      <c r="M18" s="74"/>
    </row>
    <row r="19" spans="1:10" s="6" customFormat="1" ht="24.75" customHeight="1">
      <c r="A19" s="247" t="s">
        <v>720</v>
      </c>
      <c r="B19" s="86">
        <v>9276</v>
      </c>
      <c r="C19" s="87">
        <v>133</v>
      </c>
      <c r="D19" s="87">
        <v>83</v>
      </c>
      <c r="E19" s="87">
        <v>861</v>
      </c>
      <c r="F19" s="87">
        <v>2507</v>
      </c>
      <c r="G19" s="87">
        <v>6010</v>
      </c>
      <c r="H19" s="43">
        <v>79</v>
      </c>
      <c r="I19" s="43">
        <v>22</v>
      </c>
      <c r="J19" s="88">
        <v>381</v>
      </c>
    </row>
    <row r="20" spans="1:10" s="6" customFormat="1" ht="9" customHeight="1">
      <c r="A20" s="232"/>
      <c r="B20" s="86"/>
      <c r="C20" s="87"/>
      <c r="D20" s="87"/>
      <c r="E20" s="87"/>
      <c r="F20" s="87"/>
      <c r="G20" s="87"/>
      <c r="H20" s="43"/>
      <c r="I20" s="43"/>
      <c r="J20" s="88"/>
    </row>
    <row r="21" spans="1:13" s="73" customFormat="1" ht="24.75" customHeight="1">
      <c r="A21" s="246" t="s">
        <v>746</v>
      </c>
      <c r="B21" s="82"/>
      <c r="C21" s="83"/>
      <c r="D21" s="83"/>
      <c r="E21" s="83"/>
      <c r="F21" s="83"/>
      <c r="G21" s="84"/>
      <c r="H21" s="84"/>
      <c r="I21" s="84"/>
      <c r="J21" s="85"/>
      <c r="L21" s="74"/>
      <c r="M21" s="74"/>
    </row>
    <row r="22" spans="1:13" s="73" customFormat="1" ht="24.75" customHeight="1">
      <c r="A22" s="247" t="s">
        <v>719</v>
      </c>
      <c r="B22" s="82">
        <v>9303</v>
      </c>
      <c r="C22" s="83">
        <v>129</v>
      </c>
      <c r="D22" s="83">
        <v>83</v>
      </c>
      <c r="E22" s="83">
        <v>866</v>
      </c>
      <c r="F22" s="83">
        <v>2558</v>
      </c>
      <c r="G22" s="84">
        <v>6140</v>
      </c>
      <c r="H22" s="84">
        <v>76</v>
      </c>
      <c r="I22" s="84">
        <v>22</v>
      </c>
      <c r="J22" s="85">
        <v>369</v>
      </c>
      <c r="L22" s="74"/>
      <c r="M22" s="74"/>
    </row>
    <row r="23" spans="1:10" s="6" customFormat="1" ht="24.75" customHeight="1">
      <c r="A23" s="247" t="s">
        <v>720</v>
      </c>
      <c r="B23" s="86">
        <v>9807</v>
      </c>
      <c r="C23" s="87">
        <v>133</v>
      </c>
      <c r="D23" s="87">
        <v>82</v>
      </c>
      <c r="E23" s="87">
        <v>901</v>
      </c>
      <c r="F23" s="87">
        <v>2564</v>
      </c>
      <c r="G23" s="87">
        <v>6698</v>
      </c>
      <c r="H23" s="43">
        <v>76</v>
      </c>
      <c r="I23" s="43">
        <v>20</v>
      </c>
      <c r="J23" s="88">
        <v>367</v>
      </c>
    </row>
    <row r="24" spans="1:10" s="6" customFormat="1" ht="9" customHeight="1">
      <c r="A24" s="232"/>
      <c r="B24" s="86"/>
      <c r="C24" s="87"/>
      <c r="D24" s="87"/>
      <c r="E24" s="87"/>
      <c r="F24" s="87"/>
      <c r="G24" s="87"/>
      <c r="H24" s="43"/>
      <c r="I24" s="43"/>
      <c r="J24" s="88"/>
    </row>
    <row r="25" spans="1:10" s="6" customFormat="1" ht="24.75" customHeight="1">
      <c r="A25" s="246" t="s">
        <v>747</v>
      </c>
      <c r="B25" s="86"/>
      <c r="C25" s="87"/>
      <c r="D25" s="87"/>
      <c r="E25" s="87"/>
      <c r="F25" s="87"/>
      <c r="G25" s="87"/>
      <c r="H25" s="43"/>
      <c r="I25" s="43"/>
      <c r="J25" s="88"/>
    </row>
    <row r="26" spans="1:10" s="6" customFormat="1" ht="24.75" customHeight="1">
      <c r="A26" s="248" t="s">
        <v>719</v>
      </c>
      <c r="B26" s="86">
        <v>10161</v>
      </c>
      <c r="C26" s="87">
        <v>136</v>
      </c>
      <c r="D26" s="87">
        <v>78</v>
      </c>
      <c r="E26" s="237">
        <v>182</v>
      </c>
      <c r="F26" s="87">
        <v>2626</v>
      </c>
      <c r="G26" s="87">
        <v>7299</v>
      </c>
      <c r="H26" s="43">
        <v>74</v>
      </c>
      <c r="I26" s="43">
        <v>22</v>
      </c>
      <c r="J26" s="239">
        <v>76</v>
      </c>
    </row>
    <row r="27" spans="1:10" s="6" customFormat="1" ht="24.75" customHeight="1" thickBot="1">
      <c r="A27" s="249" t="s">
        <v>720</v>
      </c>
      <c r="B27" s="89">
        <v>10725</v>
      </c>
      <c r="C27" s="90">
        <v>144</v>
      </c>
      <c r="D27" s="90">
        <v>79</v>
      </c>
      <c r="E27" s="238">
        <v>186</v>
      </c>
      <c r="F27" s="90">
        <v>2713</v>
      </c>
      <c r="G27" s="90">
        <v>7963</v>
      </c>
      <c r="H27" s="91">
        <v>80</v>
      </c>
      <c r="I27" s="91">
        <v>21</v>
      </c>
      <c r="J27" s="240">
        <v>72</v>
      </c>
    </row>
    <row r="28" spans="1:7" s="6" customFormat="1" ht="12" customHeight="1">
      <c r="A28" s="72" t="s">
        <v>749</v>
      </c>
      <c r="B28" s="76"/>
      <c r="C28" s="76"/>
      <c r="D28" s="76"/>
      <c r="E28" s="76"/>
      <c r="F28" s="76"/>
      <c r="G28" s="77"/>
    </row>
    <row r="29" spans="1:7" s="6" customFormat="1" ht="12" customHeight="1">
      <c r="A29" s="72" t="s">
        <v>745</v>
      </c>
      <c r="B29" s="76"/>
      <c r="C29" s="76"/>
      <c r="D29" s="76"/>
      <c r="E29" s="76"/>
      <c r="F29" s="76"/>
      <c r="G29" s="77"/>
    </row>
    <row r="30" s="203" customFormat="1" ht="12" customHeight="1">
      <c r="A30" s="202" t="s">
        <v>750</v>
      </c>
    </row>
  </sheetData>
  <mergeCells count="4">
    <mergeCell ref="B5:F5"/>
    <mergeCell ref="G5:J5"/>
    <mergeCell ref="A5:A7"/>
    <mergeCell ref="A2:J2"/>
  </mergeCells>
  <printOptions/>
  <pageMargins left="1.1023622047244095" right="1.1023622047244095" top="1.5748031496062993" bottom="1.5748031496062993" header="0.5118110236220472" footer="0.9055118110236221"/>
  <pageSetup firstPageNumber="279"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0.xml><?xml version="1.0" encoding="utf-8"?>
<worksheet xmlns="http://schemas.openxmlformats.org/spreadsheetml/2006/main" xmlns:r="http://schemas.openxmlformats.org/officeDocument/2006/relationships">
  <sheetPr>
    <tabColor indexed="29"/>
  </sheetPr>
  <dimension ref="A1:AC26"/>
  <sheetViews>
    <sheetView showGridLines="0" zoomScale="115" zoomScaleNormal="115" workbookViewId="0" topLeftCell="A1">
      <selection activeCell="A1" sqref="A1"/>
    </sheetView>
  </sheetViews>
  <sheetFormatPr defaultColWidth="9.00390625" defaultRowHeight="16.5"/>
  <cols>
    <col min="1" max="1" width="15.625" style="14" customWidth="1"/>
    <col min="2" max="3" width="9.625" style="14" customWidth="1"/>
    <col min="4" max="7" width="10.00390625" style="14" customWidth="1"/>
    <col min="8" max="8" width="9.00390625" style="14" customWidth="1"/>
    <col min="9" max="10" width="10.625" style="14" customWidth="1"/>
    <col min="11" max="11" width="8.625" style="14" customWidth="1"/>
    <col min="12" max="15" width="9.00390625" style="14" customWidth="1"/>
    <col min="16" max="16" width="15.625" style="14" customWidth="1"/>
    <col min="17" max="19" width="11.875" style="14" customWidth="1"/>
    <col min="20" max="20" width="11.625" style="14" customWidth="1"/>
    <col min="21" max="21" width="11.875" style="14" customWidth="1"/>
    <col min="22" max="26" width="12.625" style="14" customWidth="1"/>
    <col min="27" max="27" width="11.625" style="14" customWidth="1"/>
    <col min="28" max="16384" width="9.00390625" style="14" customWidth="1"/>
  </cols>
  <sheetData>
    <row r="1" spans="1:27" s="15" customFormat="1" ht="19.5" customHeight="1">
      <c r="A1" s="12" t="s">
        <v>675</v>
      </c>
      <c r="B1" s="27"/>
      <c r="C1" s="27"/>
      <c r="D1" s="27"/>
      <c r="E1" s="27"/>
      <c r="F1" s="27"/>
      <c r="G1" s="27"/>
      <c r="H1" s="27"/>
      <c r="O1" s="53" t="s">
        <v>696</v>
      </c>
      <c r="P1" s="12" t="s">
        <v>675</v>
      </c>
      <c r="AA1" s="53" t="s">
        <v>696</v>
      </c>
    </row>
    <row r="2" spans="1:29" s="17" customFormat="1" ht="30" customHeight="1">
      <c r="A2" s="442" t="s">
        <v>288</v>
      </c>
      <c r="B2" s="441"/>
      <c r="C2" s="441"/>
      <c r="D2" s="441"/>
      <c r="E2" s="441"/>
      <c r="F2" s="441"/>
      <c r="G2" s="441"/>
      <c r="H2" s="441" t="s">
        <v>289</v>
      </c>
      <c r="I2" s="441"/>
      <c r="J2" s="441"/>
      <c r="K2" s="441"/>
      <c r="L2" s="441"/>
      <c r="M2" s="441"/>
      <c r="N2" s="441"/>
      <c r="O2" s="441"/>
      <c r="P2" s="442" t="s">
        <v>290</v>
      </c>
      <c r="Q2" s="441"/>
      <c r="R2" s="441"/>
      <c r="S2" s="441"/>
      <c r="T2" s="441"/>
      <c r="U2" s="441"/>
      <c r="V2" s="441" t="s">
        <v>291</v>
      </c>
      <c r="W2" s="441"/>
      <c r="X2" s="441"/>
      <c r="Y2" s="441"/>
      <c r="Z2" s="441"/>
      <c r="AA2" s="441"/>
      <c r="AB2" s="47"/>
      <c r="AC2" s="47"/>
    </row>
    <row r="3" spans="1:27" s="15" customFormat="1" ht="15" customHeight="1" thickBot="1">
      <c r="A3" s="7"/>
      <c r="B3" s="16"/>
      <c r="C3" s="16"/>
      <c r="D3" s="16"/>
      <c r="E3" s="16"/>
      <c r="F3" s="16"/>
      <c r="G3" s="1" t="s">
        <v>308</v>
      </c>
      <c r="H3" s="16"/>
      <c r="I3" s="16"/>
      <c r="J3" s="16"/>
      <c r="L3" s="2"/>
      <c r="M3" s="2"/>
      <c r="N3" s="2"/>
      <c r="O3" s="53" t="s">
        <v>309</v>
      </c>
      <c r="P3" s="7"/>
      <c r="Q3" s="2"/>
      <c r="R3" s="2"/>
      <c r="S3" s="2"/>
      <c r="T3" s="2"/>
      <c r="U3" s="1" t="s">
        <v>308</v>
      </c>
      <c r="V3" s="2"/>
      <c r="W3" s="2"/>
      <c r="X3" s="2"/>
      <c r="Y3" s="2"/>
      <c r="AA3" s="53" t="s">
        <v>309</v>
      </c>
    </row>
    <row r="4" spans="1:27" s="15" customFormat="1" ht="31.5" customHeight="1">
      <c r="A4" s="437" t="s">
        <v>286</v>
      </c>
      <c r="B4" s="423" t="s">
        <v>241</v>
      </c>
      <c r="C4" s="426" t="s">
        <v>242</v>
      </c>
      <c r="D4" s="380"/>
      <c r="E4" s="380"/>
      <c r="F4" s="380"/>
      <c r="G4" s="380"/>
      <c r="H4" s="139"/>
      <c r="I4" s="434" t="s">
        <v>243</v>
      </c>
      <c r="J4" s="434"/>
      <c r="K4" s="140"/>
      <c r="L4" s="426" t="s">
        <v>244</v>
      </c>
      <c r="M4" s="380"/>
      <c r="N4" s="434" t="s">
        <v>245</v>
      </c>
      <c r="O4" s="435"/>
      <c r="P4" s="437" t="s">
        <v>286</v>
      </c>
      <c r="Q4" s="425" t="s">
        <v>246</v>
      </c>
      <c r="R4" s="434"/>
      <c r="S4" s="434"/>
      <c r="T4" s="434"/>
      <c r="U4" s="434"/>
      <c r="V4" s="139"/>
      <c r="W4" s="139"/>
      <c r="X4" s="51" t="s">
        <v>247</v>
      </c>
      <c r="Y4" s="139"/>
      <c r="Z4" s="140"/>
      <c r="AA4" s="421" t="s">
        <v>248</v>
      </c>
    </row>
    <row r="5" spans="1:27" s="15" customFormat="1" ht="31.5" customHeight="1">
      <c r="A5" s="438"/>
      <c r="B5" s="424"/>
      <c r="C5" s="345" t="s">
        <v>249</v>
      </c>
      <c r="D5" s="334" t="s">
        <v>250</v>
      </c>
      <c r="E5" s="334" t="s">
        <v>251</v>
      </c>
      <c r="F5" s="334" t="s">
        <v>252</v>
      </c>
      <c r="G5" s="244" t="s">
        <v>253</v>
      </c>
      <c r="H5" s="346" t="s">
        <v>254</v>
      </c>
      <c r="I5" s="347" t="s">
        <v>255</v>
      </c>
      <c r="J5" s="347" t="s">
        <v>256</v>
      </c>
      <c r="K5" s="345" t="s">
        <v>257</v>
      </c>
      <c r="L5" s="244" t="s">
        <v>249</v>
      </c>
      <c r="M5" s="346" t="s">
        <v>257</v>
      </c>
      <c r="N5" s="345" t="s">
        <v>258</v>
      </c>
      <c r="O5" s="347" t="s">
        <v>259</v>
      </c>
      <c r="P5" s="438"/>
      <c r="Q5" s="346" t="s">
        <v>249</v>
      </c>
      <c r="R5" s="345" t="s">
        <v>258</v>
      </c>
      <c r="S5" s="347" t="s">
        <v>259</v>
      </c>
      <c r="T5" s="347" t="s">
        <v>260</v>
      </c>
      <c r="U5" s="244" t="s">
        <v>261</v>
      </c>
      <c r="V5" s="334" t="s">
        <v>262</v>
      </c>
      <c r="W5" s="345" t="s">
        <v>263</v>
      </c>
      <c r="X5" s="346" t="s">
        <v>264</v>
      </c>
      <c r="Y5" s="345" t="s">
        <v>265</v>
      </c>
      <c r="Z5" s="345" t="s">
        <v>266</v>
      </c>
      <c r="AA5" s="422"/>
    </row>
    <row r="6" spans="1:27" s="38" customFormat="1" ht="31.5" customHeight="1" thickBot="1">
      <c r="A6" s="439"/>
      <c r="B6" s="13" t="s">
        <v>526</v>
      </c>
      <c r="C6" s="41" t="s">
        <v>713</v>
      </c>
      <c r="D6" s="13" t="s">
        <v>267</v>
      </c>
      <c r="E6" s="13" t="s">
        <v>268</v>
      </c>
      <c r="F6" s="13" t="s">
        <v>269</v>
      </c>
      <c r="G6" s="41" t="s">
        <v>270</v>
      </c>
      <c r="H6" s="13" t="s">
        <v>271</v>
      </c>
      <c r="I6" s="41" t="s">
        <v>272</v>
      </c>
      <c r="J6" s="41" t="s">
        <v>273</v>
      </c>
      <c r="K6" s="41" t="s">
        <v>274</v>
      </c>
      <c r="L6" s="41" t="s">
        <v>713</v>
      </c>
      <c r="M6" s="13" t="s">
        <v>274</v>
      </c>
      <c r="N6" s="41" t="s">
        <v>275</v>
      </c>
      <c r="O6" s="41" t="s">
        <v>276</v>
      </c>
      <c r="P6" s="439"/>
      <c r="Q6" s="13" t="s">
        <v>713</v>
      </c>
      <c r="R6" s="41" t="s">
        <v>275</v>
      </c>
      <c r="S6" s="41" t="s">
        <v>276</v>
      </c>
      <c r="T6" s="41" t="s">
        <v>277</v>
      </c>
      <c r="U6" s="41" t="s">
        <v>278</v>
      </c>
      <c r="V6" s="13" t="s">
        <v>279</v>
      </c>
      <c r="W6" s="41" t="s">
        <v>280</v>
      </c>
      <c r="X6" s="13" t="s">
        <v>281</v>
      </c>
      <c r="Y6" s="41" t="s">
        <v>282</v>
      </c>
      <c r="Z6" s="41" t="s">
        <v>283</v>
      </c>
      <c r="AA6" s="42" t="s">
        <v>284</v>
      </c>
    </row>
    <row r="7" spans="1:27" s="6" customFormat="1" ht="31.5" customHeight="1">
      <c r="A7" s="306" t="s">
        <v>25</v>
      </c>
      <c r="B7" s="131">
        <f>C7+L7+Q7+AA7</f>
        <v>83347679</v>
      </c>
      <c r="C7" s="96">
        <f aca="true" t="shared" si="0" ref="C7:C19">SUM(D7:K7)</f>
        <v>44146645</v>
      </c>
      <c r="D7" s="4">
        <v>6974209</v>
      </c>
      <c r="E7" s="4">
        <v>8833628</v>
      </c>
      <c r="F7" s="4">
        <v>1685966</v>
      </c>
      <c r="G7" s="4">
        <v>24920009</v>
      </c>
      <c r="H7" s="309" t="s">
        <v>714</v>
      </c>
      <c r="I7" s="4">
        <v>1732833</v>
      </c>
      <c r="J7" s="307" t="s">
        <v>714</v>
      </c>
      <c r="K7" s="307" t="s">
        <v>714</v>
      </c>
      <c r="L7" s="95">
        <f>M7+N7+O7</f>
        <v>14706636</v>
      </c>
      <c r="M7" s="95">
        <v>12000987</v>
      </c>
      <c r="N7" s="95">
        <v>379743</v>
      </c>
      <c r="O7" s="95">
        <v>2325906</v>
      </c>
      <c r="P7" s="306" t="s">
        <v>287</v>
      </c>
      <c r="Q7" s="95">
        <f>SUM(R7:Z7)</f>
        <v>24092486</v>
      </c>
      <c r="R7" s="308" t="s">
        <v>285</v>
      </c>
      <c r="S7" s="308" t="s">
        <v>285</v>
      </c>
      <c r="T7" s="95">
        <v>-1</v>
      </c>
      <c r="U7" s="4">
        <v>2843510</v>
      </c>
      <c r="V7" s="10">
        <v>15054970</v>
      </c>
      <c r="W7" s="4">
        <v>3102027</v>
      </c>
      <c r="X7" s="4">
        <v>199005</v>
      </c>
      <c r="Y7" s="4">
        <v>1834700</v>
      </c>
      <c r="Z7" s="4">
        <v>1058275</v>
      </c>
      <c r="AA7" s="97">
        <v>401912</v>
      </c>
    </row>
    <row r="8" spans="1:27" s="6" customFormat="1" ht="31.5" customHeight="1">
      <c r="A8" s="306" t="s">
        <v>26</v>
      </c>
      <c r="B8" s="131">
        <f>C8+L8+Q8+AA8</f>
        <v>82956134</v>
      </c>
      <c r="C8" s="96">
        <f t="shared" si="0"/>
        <v>45160212</v>
      </c>
      <c r="D8" s="4">
        <v>7600978</v>
      </c>
      <c r="E8" s="4">
        <v>11072748</v>
      </c>
      <c r="F8" s="4">
        <v>1563704</v>
      </c>
      <c r="G8" s="4">
        <v>23547268</v>
      </c>
      <c r="H8" s="309" t="s">
        <v>673</v>
      </c>
      <c r="I8" s="4">
        <v>1375514</v>
      </c>
      <c r="J8" s="307" t="s">
        <v>673</v>
      </c>
      <c r="K8" s="307" t="s">
        <v>673</v>
      </c>
      <c r="L8" s="95">
        <f>M8+N8+O8</f>
        <v>16875760</v>
      </c>
      <c r="M8" s="95">
        <v>13577424</v>
      </c>
      <c r="N8" s="95">
        <v>390928</v>
      </c>
      <c r="O8" s="95">
        <v>2907408</v>
      </c>
      <c r="P8" s="306" t="s">
        <v>690</v>
      </c>
      <c r="Q8" s="95">
        <f>SUM(R8:Z8)</f>
        <v>18433008</v>
      </c>
      <c r="R8" s="308" t="s">
        <v>688</v>
      </c>
      <c r="S8" s="308" t="s">
        <v>688</v>
      </c>
      <c r="T8" s="308" t="s">
        <v>688</v>
      </c>
      <c r="U8" s="4">
        <v>3112423</v>
      </c>
      <c r="V8" s="10">
        <v>9464640</v>
      </c>
      <c r="W8" s="4">
        <v>3409292</v>
      </c>
      <c r="X8" s="4">
        <v>221424</v>
      </c>
      <c r="Y8" s="4">
        <v>1733834</v>
      </c>
      <c r="Z8" s="4">
        <v>491395</v>
      </c>
      <c r="AA8" s="97">
        <v>2487154</v>
      </c>
    </row>
    <row r="9" spans="1:27" s="6" customFormat="1" ht="31.5" customHeight="1">
      <c r="A9" s="335" t="s">
        <v>27</v>
      </c>
      <c r="B9" s="131">
        <f>C9+L9+Q9+AA9</f>
        <v>85734386</v>
      </c>
      <c r="C9" s="96">
        <f t="shared" si="0"/>
        <v>47117661</v>
      </c>
      <c r="D9" s="4">
        <v>8034628</v>
      </c>
      <c r="E9" s="4">
        <v>10575598</v>
      </c>
      <c r="F9" s="4">
        <v>1528395</v>
      </c>
      <c r="G9" s="4">
        <v>23692543</v>
      </c>
      <c r="H9" s="309" t="s">
        <v>673</v>
      </c>
      <c r="I9" s="4">
        <v>3286497</v>
      </c>
      <c r="J9" s="307" t="s">
        <v>673</v>
      </c>
      <c r="K9" s="307" t="s">
        <v>673</v>
      </c>
      <c r="L9" s="95">
        <f>M9+N9+O9</f>
        <v>17320995</v>
      </c>
      <c r="M9" s="95">
        <v>13754948</v>
      </c>
      <c r="N9" s="95">
        <v>376636</v>
      </c>
      <c r="O9" s="95">
        <v>3189411</v>
      </c>
      <c r="P9" s="335" t="s">
        <v>691</v>
      </c>
      <c r="Q9" s="95">
        <f>SUM(R9:Z9)</f>
        <v>20813412</v>
      </c>
      <c r="R9" s="308" t="s">
        <v>688</v>
      </c>
      <c r="S9" s="308" t="s">
        <v>688</v>
      </c>
      <c r="T9" s="307" t="s">
        <v>673</v>
      </c>
      <c r="U9" s="4">
        <v>3076028</v>
      </c>
      <c r="V9" s="10">
        <v>11825124</v>
      </c>
      <c r="W9" s="4">
        <v>3657433</v>
      </c>
      <c r="X9" s="4">
        <v>217792</v>
      </c>
      <c r="Y9" s="4">
        <v>1551648</v>
      </c>
      <c r="Z9" s="4">
        <v>485387</v>
      </c>
      <c r="AA9" s="97">
        <v>482318</v>
      </c>
    </row>
    <row r="10" spans="1:27" s="6" customFormat="1" ht="18" customHeight="1">
      <c r="A10" s="338"/>
      <c r="B10" s="131"/>
      <c r="C10" s="96"/>
      <c r="D10" s="4"/>
      <c r="E10" s="4"/>
      <c r="F10" s="4"/>
      <c r="G10" s="4"/>
      <c r="H10" s="105"/>
      <c r="I10" s="4"/>
      <c r="J10" s="95"/>
      <c r="K10" s="95"/>
      <c r="L10" s="95"/>
      <c r="M10" s="95"/>
      <c r="N10" s="95"/>
      <c r="O10" s="95"/>
      <c r="P10" s="338"/>
      <c r="Q10" s="95"/>
      <c r="R10" s="4"/>
      <c r="S10" s="4"/>
      <c r="T10" s="95"/>
      <c r="U10" s="4"/>
      <c r="V10" s="10"/>
      <c r="W10" s="4"/>
      <c r="X10" s="4"/>
      <c r="Y10" s="4"/>
      <c r="Z10" s="4"/>
      <c r="AA10" s="97"/>
    </row>
    <row r="11" spans="1:27" s="6" customFormat="1" ht="31.5" customHeight="1">
      <c r="A11" s="335" t="s">
        <v>28</v>
      </c>
      <c r="B11" s="131">
        <f>C11+L11+Q11+AA11</f>
        <v>93646768</v>
      </c>
      <c r="C11" s="96">
        <f t="shared" si="0"/>
        <v>52119616</v>
      </c>
      <c r="D11" s="4">
        <v>9771830</v>
      </c>
      <c r="E11" s="4">
        <v>11853697</v>
      </c>
      <c r="F11" s="4">
        <v>1273619</v>
      </c>
      <c r="G11" s="4">
        <v>24164162</v>
      </c>
      <c r="H11" s="309" t="s">
        <v>673</v>
      </c>
      <c r="I11" s="4">
        <v>5056308</v>
      </c>
      <c r="J11" s="307" t="s">
        <v>673</v>
      </c>
      <c r="K11" s="307" t="s">
        <v>673</v>
      </c>
      <c r="L11" s="95">
        <f>M11+N11+O11</f>
        <v>19510696</v>
      </c>
      <c r="M11" s="95">
        <v>15596759</v>
      </c>
      <c r="N11" s="95">
        <v>397721</v>
      </c>
      <c r="O11" s="95">
        <v>3516216</v>
      </c>
      <c r="P11" s="335" t="s">
        <v>692</v>
      </c>
      <c r="Q11" s="95">
        <f>SUM(R11:Z11)</f>
        <v>21200987</v>
      </c>
      <c r="R11" s="308" t="s">
        <v>688</v>
      </c>
      <c r="S11" s="308" t="s">
        <v>688</v>
      </c>
      <c r="T11" s="307" t="s">
        <v>673</v>
      </c>
      <c r="U11" s="4">
        <v>3317565</v>
      </c>
      <c r="V11" s="10">
        <v>11740862</v>
      </c>
      <c r="W11" s="4">
        <v>3923293</v>
      </c>
      <c r="X11" s="4">
        <v>244599</v>
      </c>
      <c r="Y11" s="4">
        <v>1450809</v>
      </c>
      <c r="Z11" s="4">
        <v>523859</v>
      </c>
      <c r="AA11" s="97">
        <v>815469</v>
      </c>
    </row>
    <row r="12" spans="1:27" s="6" customFormat="1" ht="31.5" customHeight="1">
      <c r="A12" s="336" t="s">
        <v>29</v>
      </c>
      <c r="B12" s="131">
        <f>C12+L12+Q12+AA12</f>
        <v>107536243</v>
      </c>
      <c r="C12" s="96">
        <f t="shared" si="0"/>
        <v>66902997</v>
      </c>
      <c r="D12" s="4">
        <v>10611630</v>
      </c>
      <c r="E12" s="4">
        <v>12472936</v>
      </c>
      <c r="F12" s="4">
        <v>1201732</v>
      </c>
      <c r="G12" s="4">
        <v>38817467</v>
      </c>
      <c r="H12" s="309" t="s">
        <v>673</v>
      </c>
      <c r="I12" s="4">
        <v>3769139</v>
      </c>
      <c r="J12" s="4">
        <v>30093</v>
      </c>
      <c r="K12" s="307" t="s">
        <v>673</v>
      </c>
      <c r="L12" s="95">
        <f>M12+N12+O12</f>
        <v>18983134</v>
      </c>
      <c r="M12" s="95">
        <v>14793015</v>
      </c>
      <c r="N12" s="95">
        <v>443346</v>
      </c>
      <c r="O12" s="95">
        <v>3746773</v>
      </c>
      <c r="P12" s="336" t="s">
        <v>693</v>
      </c>
      <c r="Q12" s="4">
        <f>SUM(R12:Z12)</f>
        <v>20886914</v>
      </c>
      <c r="R12" s="308" t="s">
        <v>688</v>
      </c>
      <c r="S12" s="308" t="s">
        <v>688</v>
      </c>
      <c r="T12" s="307" t="s">
        <v>673</v>
      </c>
      <c r="U12" s="4">
        <v>3628539</v>
      </c>
      <c r="V12" s="10">
        <v>11412129</v>
      </c>
      <c r="W12" s="4">
        <v>4199579</v>
      </c>
      <c r="X12" s="4">
        <v>237092</v>
      </c>
      <c r="Y12" s="4">
        <v>1332141</v>
      </c>
      <c r="Z12" s="4">
        <v>77434</v>
      </c>
      <c r="AA12" s="97">
        <v>763198</v>
      </c>
    </row>
    <row r="13" spans="1:27" s="6" customFormat="1" ht="45" customHeight="1">
      <c r="A13" s="39" t="s">
        <v>217</v>
      </c>
      <c r="B13" s="131">
        <f>C13+Q13+AA13</f>
        <v>149870884</v>
      </c>
      <c r="C13" s="96">
        <f t="shared" si="0"/>
        <v>116777971</v>
      </c>
      <c r="D13" s="4">
        <v>16423076</v>
      </c>
      <c r="E13" s="4">
        <v>16500031</v>
      </c>
      <c r="F13" s="4">
        <v>3424461</v>
      </c>
      <c r="G13" s="4">
        <v>52862646</v>
      </c>
      <c r="H13" s="309" t="s">
        <v>673</v>
      </c>
      <c r="I13" s="4">
        <v>7817164</v>
      </c>
      <c r="J13" s="4">
        <v>52130</v>
      </c>
      <c r="K13" s="106">
        <v>19698463</v>
      </c>
      <c r="L13" s="307" t="s">
        <v>673</v>
      </c>
      <c r="M13" s="307" t="s">
        <v>673</v>
      </c>
      <c r="N13" s="307" t="s">
        <v>673</v>
      </c>
      <c r="O13" s="307" t="s">
        <v>673</v>
      </c>
      <c r="P13" s="39" t="s">
        <v>217</v>
      </c>
      <c r="Q13" s="4">
        <f>SUM(R13:Z13)</f>
        <v>31961829</v>
      </c>
      <c r="R13" s="106">
        <v>672773</v>
      </c>
      <c r="S13" s="106">
        <v>4167578</v>
      </c>
      <c r="T13" s="307" t="s">
        <v>673</v>
      </c>
      <c r="U13" s="4">
        <v>6838651</v>
      </c>
      <c r="V13" s="10">
        <v>13841789</v>
      </c>
      <c r="W13" s="4">
        <v>4539623</v>
      </c>
      <c r="X13" s="4">
        <v>390901</v>
      </c>
      <c r="Y13" s="4">
        <v>1500697</v>
      </c>
      <c r="Z13" s="4">
        <v>9817</v>
      </c>
      <c r="AA13" s="97">
        <v>1131084</v>
      </c>
    </row>
    <row r="14" spans="1:27" s="6" customFormat="1" ht="18" customHeight="1">
      <c r="A14" s="39"/>
      <c r="B14" s="131"/>
      <c r="C14" s="96"/>
      <c r="D14" s="4"/>
      <c r="E14" s="4"/>
      <c r="F14" s="4"/>
      <c r="G14" s="4"/>
      <c r="H14" s="105"/>
      <c r="I14" s="4"/>
      <c r="J14" s="4"/>
      <c r="K14" s="106"/>
      <c r="L14" s="95"/>
      <c r="M14" s="95"/>
      <c r="N14" s="95"/>
      <c r="O14" s="95"/>
      <c r="P14" s="39"/>
      <c r="Q14" s="4"/>
      <c r="R14" s="106"/>
      <c r="S14" s="106"/>
      <c r="T14" s="95"/>
      <c r="U14" s="4"/>
      <c r="V14" s="10"/>
      <c r="W14" s="4"/>
      <c r="X14" s="4"/>
      <c r="Y14" s="4"/>
      <c r="Z14" s="4"/>
      <c r="AA14" s="97"/>
    </row>
    <row r="15" spans="1:27" s="6" customFormat="1" ht="31.5" customHeight="1">
      <c r="A15" s="336" t="s">
        <v>33</v>
      </c>
      <c r="B15" s="131">
        <f>C15+Q15+AA15</f>
        <v>91812880</v>
      </c>
      <c r="C15" s="96">
        <f t="shared" si="0"/>
        <v>73752689</v>
      </c>
      <c r="D15" s="4">
        <v>13723131</v>
      </c>
      <c r="E15" s="4">
        <v>13103176</v>
      </c>
      <c r="F15" s="4">
        <v>1429905</v>
      </c>
      <c r="G15" s="4">
        <v>30548967</v>
      </c>
      <c r="H15" s="309" t="s">
        <v>158</v>
      </c>
      <c r="I15" s="4">
        <v>3118905</v>
      </c>
      <c r="J15" s="4">
        <v>24507</v>
      </c>
      <c r="K15" s="106">
        <v>11804098</v>
      </c>
      <c r="L15" s="307" t="s">
        <v>158</v>
      </c>
      <c r="M15" s="307" t="s">
        <v>158</v>
      </c>
      <c r="N15" s="307" t="s">
        <v>158</v>
      </c>
      <c r="O15" s="307" t="s">
        <v>158</v>
      </c>
      <c r="P15" s="336" t="s">
        <v>238</v>
      </c>
      <c r="Q15" s="4">
        <f>SUM(R15:Z15)</f>
        <v>17414872</v>
      </c>
      <c r="R15" s="106">
        <v>441361</v>
      </c>
      <c r="S15" s="106">
        <v>4054889</v>
      </c>
      <c r="T15" s="307" t="s">
        <v>158</v>
      </c>
      <c r="U15" s="4">
        <v>3496503</v>
      </c>
      <c r="V15" s="10">
        <v>3738352</v>
      </c>
      <c r="W15" s="4">
        <v>4545260</v>
      </c>
      <c r="X15" s="4">
        <v>254025</v>
      </c>
      <c r="Y15" s="4">
        <v>881323</v>
      </c>
      <c r="Z15" s="4">
        <v>3159</v>
      </c>
      <c r="AA15" s="97">
        <v>645319</v>
      </c>
    </row>
    <row r="16" spans="1:27" s="6" customFormat="1" ht="31.5" customHeight="1">
      <c r="A16" s="336" t="s">
        <v>30</v>
      </c>
      <c r="B16" s="131">
        <f>C16+Q16+AA16</f>
        <v>151406238</v>
      </c>
      <c r="C16" s="96">
        <f>SUM(D16:K16)</f>
        <v>132113804</v>
      </c>
      <c r="D16" s="95">
        <v>10130569</v>
      </c>
      <c r="E16" s="95">
        <v>13999610</v>
      </c>
      <c r="F16" s="95">
        <v>1285238</v>
      </c>
      <c r="G16" s="95">
        <v>36263969</v>
      </c>
      <c r="H16" s="105">
        <v>4570426</v>
      </c>
      <c r="I16" s="95">
        <v>3692066</v>
      </c>
      <c r="J16" s="95">
        <v>23017</v>
      </c>
      <c r="K16" s="133">
        <f>61025011+1123898</f>
        <v>62148909</v>
      </c>
      <c r="L16" s="307" t="s">
        <v>673</v>
      </c>
      <c r="M16" s="307" t="s">
        <v>673</v>
      </c>
      <c r="N16" s="307" t="s">
        <v>673</v>
      </c>
      <c r="O16" s="307" t="s">
        <v>673</v>
      </c>
      <c r="P16" s="336" t="s">
        <v>694</v>
      </c>
      <c r="Q16" s="95">
        <f>SUM(R16:Z16)</f>
        <v>18563339</v>
      </c>
      <c r="R16" s="133">
        <v>430076</v>
      </c>
      <c r="S16" s="133">
        <v>4173158</v>
      </c>
      <c r="T16" s="307" t="s">
        <v>673</v>
      </c>
      <c r="U16" s="95">
        <v>3623414</v>
      </c>
      <c r="V16" s="105">
        <v>4446953</v>
      </c>
      <c r="W16" s="95">
        <v>4498479</v>
      </c>
      <c r="X16" s="95">
        <v>276124</v>
      </c>
      <c r="Y16" s="95">
        <v>1113483</v>
      </c>
      <c r="Z16" s="95">
        <v>1652</v>
      </c>
      <c r="AA16" s="97">
        <v>729095</v>
      </c>
    </row>
    <row r="17" spans="1:27" s="6" customFormat="1" ht="31.5" customHeight="1">
      <c r="A17" s="336" t="s">
        <v>31</v>
      </c>
      <c r="B17" s="131">
        <v>160658188</v>
      </c>
      <c r="C17" s="96">
        <v>138550890</v>
      </c>
      <c r="D17" s="95">
        <v>15105348</v>
      </c>
      <c r="E17" s="95">
        <v>12569844</v>
      </c>
      <c r="F17" s="95">
        <v>1950080</v>
      </c>
      <c r="G17" s="95">
        <v>43091411</v>
      </c>
      <c r="H17" s="105">
        <v>2505374</v>
      </c>
      <c r="I17" s="95">
        <v>3152782</v>
      </c>
      <c r="J17" s="95">
        <v>22553</v>
      </c>
      <c r="K17" s="133">
        <v>60153498</v>
      </c>
      <c r="L17" s="307" t="s">
        <v>733</v>
      </c>
      <c r="M17" s="307" t="s">
        <v>733</v>
      </c>
      <c r="N17" s="307" t="s">
        <v>733</v>
      </c>
      <c r="O17" s="307" t="s">
        <v>733</v>
      </c>
      <c r="P17" s="336" t="s">
        <v>239</v>
      </c>
      <c r="Q17" s="95">
        <v>21445121</v>
      </c>
      <c r="R17" s="133">
        <v>494348</v>
      </c>
      <c r="S17" s="133">
        <v>4416101</v>
      </c>
      <c r="T17" s="307" t="s">
        <v>733</v>
      </c>
      <c r="U17" s="95">
        <v>3870448</v>
      </c>
      <c r="V17" s="105">
        <v>6330933</v>
      </c>
      <c r="W17" s="95">
        <v>4692942</v>
      </c>
      <c r="X17" s="95">
        <v>280960</v>
      </c>
      <c r="Y17" s="95">
        <v>1358575</v>
      </c>
      <c r="Z17" s="95">
        <v>814</v>
      </c>
      <c r="AA17" s="97">
        <v>662177</v>
      </c>
    </row>
    <row r="18" spans="1:27" s="6" customFormat="1" ht="18" customHeight="1">
      <c r="A18" s="113"/>
      <c r="B18" s="131"/>
      <c r="C18" s="96"/>
      <c r="D18" s="4"/>
      <c r="E18" s="4"/>
      <c r="F18" s="4"/>
      <c r="G18" s="4"/>
      <c r="H18" s="105"/>
      <c r="I18" s="4"/>
      <c r="J18" s="4"/>
      <c r="K18" s="106"/>
      <c r="L18" s="106"/>
      <c r="M18" s="106"/>
      <c r="N18" s="106"/>
      <c r="O18" s="106"/>
      <c r="P18" s="113"/>
      <c r="Q18" s="4"/>
      <c r="R18" s="106"/>
      <c r="S18" s="106"/>
      <c r="T18" s="95"/>
      <c r="U18" s="4"/>
      <c r="V18" s="10"/>
      <c r="W18" s="4"/>
      <c r="X18" s="4"/>
      <c r="Y18" s="4"/>
      <c r="Z18" s="4"/>
      <c r="AA18" s="97"/>
    </row>
    <row r="19" spans="1:27" s="141" customFormat="1" ht="31.5" customHeight="1" thickBot="1">
      <c r="A19" s="337" t="s">
        <v>32</v>
      </c>
      <c r="B19" s="134">
        <f>C19+Q19+AA19</f>
        <v>187989578</v>
      </c>
      <c r="C19" s="135">
        <f t="shared" si="0"/>
        <v>162072181</v>
      </c>
      <c r="D19" s="136">
        <v>16305647</v>
      </c>
      <c r="E19" s="136">
        <v>15772489</v>
      </c>
      <c r="F19" s="136">
        <v>2427799</v>
      </c>
      <c r="G19" s="136">
        <v>51511113</v>
      </c>
      <c r="H19" s="138">
        <v>2267602</v>
      </c>
      <c r="I19" s="136">
        <v>3715224</v>
      </c>
      <c r="J19" s="136">
        <v>27950</v>
      </c>
      <c r="K19" s="136">
        <v>70044357</v>
      </c>
      <c r="L19" s="348" t="s">
        <v>673</v>
      </c>
      <c r="M19" s="348" t="s">
        <v>673</v>
      </c>
      <c r="N19" s="348" t="s">
        <v>673</v>
      </c>
      <c r="O19" s="348" t="s">
        <v>673</v>
      </c>
      <c r="P19" s="337" t="s">
        <v>240</v>
      </c>
      <c r="Q19" s="136">
        <f>SUM(R19:Z19)</f>
        <v>25191974</v>
      </c>
      <c r="R19" s="136">
        <v>538461</v>
      </c>
      <c r="S19" s="136">
        <v>4656294</v>
      </c>
      <c r="T19" s="348" t="s">
        <v>673</v>
      </c>
      <c r="U19" s="136">
        <v>3995847</v>
      </c>
      <c r="V19" s="138">
        <v>9286458</v>
      </c>
      <c r="W19" s="136">
        <v>4935230</v>
      </c>
      <c r="X19" s="136">
        <v>277123</v>
      </c>
      <c r="Y19" s="136">
        <v>1501770</v>
      </c>
      <c r="Z19" s="136">
        <v>791</v>
      </c>
      <c r="AA19" s="137">
        <v>725423</v>
      </c>
    </row>
    <row r="20" spans="1:28" s="331" customFormat="1" ht="14.25" customHeight="1">
      <c r="A20" s="330" t="s">
        <v>293</v>
      </c>
      <c r="H20" s="341" t="s">
        <v>294</v>
      </c>
      <c r="V20" s="342"/>
      <c r="W20" s="342"/>
      <c r="X20" s="342"/>
      <c r="Y20" s="342"/>
      <c r="Z20" s="342"/>
      <c r="AA20" s="342"/>
      <c r="AB20" s="342"/>
    </row>
    <row r="21" spans="1:28" s="331" customFormat="1" ht="14.25" customHeight="1">
      <c r="A21" s="330" t="s">
        <v>295</v>
      </c>
      <c r="H21" s="341" t="s">
        <v>296</v>
      </c>
      <c r="V21" s="342"/>
      <c r="W21" s="342"/>
      <c r="X21" s="342"/>
      <c r="Y21" s="342"/>
      <c r="Z21" s="342"/>
      <c r="AA21" s="342"/>
      <c r="AB21" s="342"/>
    </row>
    <row r="22" spans="1:27" s="331" customFormat="1" ht="14.25" customHeight="1">
      <c r="A22" s="330" t="s">
        <v>297</v>
      </c>
      <c r="H22" s="343" t="s">
        <v>298</v>
      </c>
      <c r="V22" s="342"/>
      <c r="Z22" s="342"/>
      <c r="AA22" s="342"/>
    </row>
    <row r="23" spans="1:27" s="331" customFormat="1" ht="14.25" customHeight="1">
      <c r="A23" s="330" t="s">
        <v>299</v>
      </c>
      <c r="H23" s="343" t="s">
        <v>300</v>
      </c>
      <c r="V23" s="342"/>
      <c r="Z23" s="342"/>
      <c r="AA23" s="342"/>
    </row>
    <row r="24" spans="1:27" s="331" customFormat="1" ht="14.25" customHeight="1">
      <c r="A24" s="330" t="s">
        <v>301</v>
      </c>
      <c r="H24" s="343" t="s">
        <v>302</v>
      </c>
      <c r="V24" s="342"/>
      <c r="Z24" s="342"/>
      <c r="AA24" s="342"/>
    </row>
    <row r="25" spans="1:8" s="332" customFormat="1" ht="14.25" customHeight="1">
      <c r="A25" s="330" t="s">
        <v>303</v>
      </c>
      <c r="H25" s="343" t="s">
        <v>304</v>
      </c>
    </row>
    <row r="26" spans="1:8" s="332" customFormat="1" ht="14.25" customHeight="1">
      <c r="A26" s="330" t="s">
        <v>305</v>
      </c>
      <c r="H26" s="343" t="s">
        <v>306</v>
      </c>
    </row>
    <row r="27" s="332" customFormat="1" ht="14.25" customHeight="1"/>
    <row r="28" s="344" customFormat="1" ht="14.25" customHeight="1"/>
  </sheetData>
  <mergeCells count="13">
    <mergeCell ref="L4:M4"/>
    <mergeCell ref="N4:O4"/>
    <mergeCell ref="A4:A6"/>
    <mergeCell ref="AA4:AA5"/>
    <mergeCell ref="V2:AA2"/>
    <mergeCell ref="B4:B5"/>
    <mergeCell ref="Q4:U4"/>
    <mergeCell ref="P2:U2"/>
    <mergeCell ref="H2:O2"/>
    <mergeCell ref="A2:G2"/>
    <mergeCell ref="P4:P6"/>
    <mergeCell ref="C4:G4"/>
    <mergeCell ref="I4:J4"/>
  </mergeCells>
  <printOptions/>
  <pageMargins left="1.1811023622047245" right="1.1811023622047245" top="1.5748031496062993" bottom="1.5748031496062993" header="0.5118110236220472" footer="0.9055118110236221"/>
  <pageSetup firstPageNumber="296" useFirstPageNumber="1" horizontalDpi="96" verticalDpi="96" orientation="portrait" paperSize="9" r:id="rId1"/>
  <headerFooter alignWithMargins="0">
    <oddFooter>&amp;C&amp;"超研澤中圓,Regula"&amp;11‧&amp;"Times New Roman,標準"&amp;P&amp;"超研澤中圓,Regula"‧</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tabColor indexed="29"/>
  </sheetPr>
  <dimension ref="A1:J34"/>
  <sheetViews>
    <sheetView showGridLines="0" workbookViewId="0" topLeftCell="A1">
      <selection activeCell="A1" sqref="A1"/>
    </sheetView>
  </sheetViews>
  <sheetFormatPr defaultColWidth="9.00390625" defaultRowHeight="16.5"/>
  <cols>
    <col min="1" max="1" width="12.625" style="14" customWidth="1"/>
    <col min="2" max="2" width="16.625" style="14" customWidth="1"/>
    <col min="3" max="5" width="15.125" style="14" customWidth="1"/>
    <col min="6" max="9" width="18.625" style="14" customWidth="1"/>
    <col min="10" max="16384" width="9.00390625" style="14" customWidth="1"/>
  </cols>
  <sheetData>
    <row r="1" spans="1:9" s="15" customFormat="1" ht="18" customHeight="1">
      <c r="A1" s="12" t="s">
        <v>675</v>
      </c>
      <c r="D1" s="27"/>
      <c r="E1" s="27"/>
      <c r="F1" s="27"/>
      <c r="G1" s="27"/>
      <c r="H1" s="27"/>
      <c r="I1" s="53" t="s">
        <v>696</v>
      </c>
    </row>
    <row r="2" spans="1:10" s="164" customFormat="1" ht="27.75" customHeight="1">
      <c r="A2" s="442" t="s">
        <v>362</v>
      </c>
      <c r="B2" s="441"/>
      <c r="C2" s="441"/>
      <c r="D2" s="441"/>
      <c r="E2" s="441"/>
      <c r="F2" s="441" t="s">
        <v>363</v>
      </c>
      <c r="G2" s="441"/>
      <c r="H2" s="441"/>
      <c r="I2" s="441"/>
      <c r="J2" s="47"/>
    </row>
    <row r="3" spans="1:9" s="15" customFormat="1" ht="15.75" customHeight="1" thickBot="1">
      <c r="A3" s="7"/>
      <c r="B3" s="2"/>
      <c r="C3" s="16"/>
      <c r="D3" s="16"/>
      <c r="E3" s="24" t="s">
        <v>292</v>
      </c>
      <c r="F3" s="45"/>
      <c r="G3" s="16"/>
      <c r="I3" s="26" t="s">
        <v>307</v>
      </c>
    </row>
    <row r="4" spans="1:9" s="15" customFormat="1" ht="21.75" customHeight="1">
      <c r="A4" s="463" t="s">
        <v>313</v>
      </c>
      <c r="B4" s="464"/>
      <c r="C4" s="461" t="s">
        <v>314</v>
      </c>
      <c r="D4" s="469" t="s">
        <v>315</v>
      </c>
      <c r="E4" s="434"/>
      <c r="F4" s="139"/>
      <c r="G4" s="139" t="s">
        <v>316</v>
      </c>
      <c r="H4" s="140"/>
      <c r="I4" s="419" t="s">
        <v>317</v>
      </c>
    </row>
    <row r="5" spans="1:9" s="15" customFormat="1" ht="27" customHeight="1">
      <c r="A5" s="465"/>
      <c r="B5" s="466"/>
      <c r="C5" s="462"/>
      <c r="D5" s="244" t="s">
        <v>318</v>
      </c>
      <c r="E5" s="244" t="s">
        <v>319</v>
      </c>
      <c r="F5" s="334" t="s">
        <v>320</v>
      </c>
      <c r="G5" s="244" t="s">
        <v>321</v>
      </c>
      <c r="H5" s="334" t="s">
        <v>322</v>
      </c>
      <c r="I5" s="320"/>
    </row>
    <row r="6" spans="1:9" s="15" customFormat="1" ht="27" customHeight="1" thickBot="1">
      <c r="A6" s="467"/>
      <c r="B6" s="468"/>
      <c r="C6" s="40" t="s">
        <v>323</v>
      </c>
      <c r="D6" s="144" t="s">
        <v>324</v>
      </c>
      <c r="E6" s="41" t="s">
        <v>325</v>
      </c>
      <c r="F6" s="13" t="s">
        <v>326</v>
      </c>
      <c r="G6" s="41" t="s">
        <v>327</v>
      </c>
      <c r="H6" s="13" t="s">
        <v>328</v>
      </c>
      <c r="I6" s="42" t="s">
        <v>329</v>
      </c>
    </row>
    <row r="7" spans="1:9" s="15" customFormat="1" ht="18.75" customHeight="1">
      <c r="A7" s="324" t="s">
        <v>330</v>
      </c>
      <c r="B7" s="161">
        <v>1995</v>
      </c>
      <c r="C7" s="3">
        <v>35294730</v>
      </c>
      <c r="D7" s="10">
        <v>35292610</v>
      </c>
      <c r="E7" s="4">
        <v>10530198</v>
      </c>
      <c r="F7" s="10">
        <v>9200935</v>
      </c>
      <c r="G7" s="10">
        <v>14005431</v>
      </c>
      <c r="H7" s="10">
        <v>1556046</v>
      </c>
      <c r="I7" s="16">
        <v>2120</v>
      </c>
    </row>
    <row r="8" spans="1:9" s="15" customFormat="1" ht="18.75" customHeight="1">
      <c r="A8" s="324" t="s">
        <v>331</v>
      </c>
      <c r="B8" s="161">
        <v>1996</v>
      </c>
      <c r="C8" s="3">
        <v>33651043</v>
      </c>
      <c r="D8" s="10">
        <v>33650984</v>
      </c>
      <c r="E8" s="4">
        <v>12490361</v>
      </c>
      <c r="F8" s="10">
        <v>8877103</v>
      </c>
      <c r="G8" s="10">
        <v>10632411</v>
      </c>
      <c r="H8" s="10">
        <v>1651109</v>
      </c>
      <c r="I8" s="16">
        <v>59</v>
      </c>
    </row>
    <row r="9" spans="1:9" s="15" customFormat="1" ht="9" customHeight="1">
      <c r="A9" s="2"/>
      <c r="B9" s="161"/>
      <c r="C9" s="3"/>
      <c r="D9" s="10"/>
      <c r="E9" s="4"/>
      <c r="F9" s="10"/>
      <c r="G9" s="10"/>
      <c r="H9" s="10"/>
      <c r="I9" s="16"/>
    </row>
    <row r="10" spans="1:9" s="15" customFormat="1" ht="18.75" customHeight="1">
      <c r="A10" s="324" t="s">
        <v>332</v>
      </c>
      <c r="B10" s="161">
        <v>1997</v>
      </c>
      <c r="C10" s="3">
        <v>34769853</v>
      </c>
      <c r="D10" s="10">
        <v>34769853</v>
      </c>
      <c r="E10" s="4">
        <v>11420784</v>
      </c>
      <c r="F10" s="10">
        <v>9430817</v>
      </c>
      <c r="G10" s="10">
        <v>12261231</v>
      </c>
      <c r="H10" s="10">
        <v>1657021</v>
      </c>
      <c r="I10" s="360" t="s">
        <v>333</v>
      </c>
    </row>
    <row r="11" spans="1:9" s="2" customFormat="1" ht="18.75" customHeight="1">
      <c r="A11" s="324" t="s">
        <v>334</v>
      </c>
      <c r="B11" s="161">
        <v>1998</v>
      </c>
      <c r="C11" s="3">
        <v>37279614</v>
      </c>
      <c r="D11" s="10">
        <v>37277827</v>
      </c>
      <c r="E11" s="4">
        <v>12531722</v>
      </c>
      <c r="F11" s="10">
        <v>10345055</v>
      </c>
      <c r="G11" s="10">
        <v>12662719</v>
      </c>
      <c r="H11" s="10">
        <v>1738331</v>
      </c>
      <c r="I11" s="16">
        <v>1787</v>
      </c>
    </row>
    <row r="12" spans="1:9" s="2" customFormat="1" ht="18.75" customHeight="1">
      <c r="A12" s="324" t="s">
        <v>335</v>
      </c>
      <c r="B12" s="161">
        <v>1999</v>
      </c>
      <c r="C12" s="3">
        <v>36336921</v>
      </c>
      <c r="D12" s="10">
        <v>36336921</v>
      </c>
      <c r="E12" s="4">
        <v>12227886</v>
      </c>
      <c r="F12" s="10">
        <v>9900606</v>
      </c>
      <c r="G12" s="10">
        <v>12376378</v>
      </c>
      <c r="H12" s="10">
        <v>1832051</v>
      </c>
      <c r="I12" s="360" t="s">
        <v>333</v>
      </c>
    </row>
    <row r="13" spans="2:9" s="2" customFormat="1" ht="3.75" customHeight="1" thickBot="1">
      <c r="B13" s="46"/>
      <c r="C13" s="3"/>
      <c r="D13" s="11"/>
      <c r="E13" s="9"/>
      <c r="F13" s="11"/>
      <c r="G13" s="11"/>
      <c r="H13" s="10"/>
      <c r="I13" s="16"/>
    </row>
    <row r="14" spans="1:9" s="15" customFormat="1" ht="21.75" customHeight="1">
      <c r="A14" s="463" t="s">
        <v>313</v>
      </c>
      <c r="B14" s="464"/>
      <c r="C14" s="461" t="s">
        <v>314</v>
      </c>
      <c r="D14" s="469" t="s">
        <v>315</v>
      </c>
      <c r="E14" s="434"/>
      <c r="F14" s="139"/>
      <c r="G14" s="139" t="s">
        <v>316</v>
      </c>
      <c r="H14" s="140"/>
      <c r="I14" s="419" t="s">
        <v>317</v>
      </c>
    </row>
    <row r="15" spans="1:9" s="15" customFormat="1" ht="27" customHeight="1">
      <c r="A15" s="465"/>
      <c r="B15" s="466"/>
      <c r="C15" s="462"/>
      <c r="D15" s="244" t="s">
        <v>318</v>
      </c>
      <c r="E15" s="244" t="s">
        <v>336</v>
      </c>
      <c r="F15" s="334" t="s">
        <v>337</v>
      </c>
      <c r="G15" s="244" t="s">
        <v>321</v>
      </c>
      <c r="H15" s="334" t="s">
        <v>322</v>
      </c>
      <c r="I15" s="320"/>
    </row>
    <row r="16" spans="1:9" s="15" customFormat="1" ht="27" customHeight="1" thickBot="1">
      <c r="A16" s="467"/>
      <c r="B16" s="468"/>
      <c r="C16" s="40" t="s">
        <v>323</v>
      </c>
      <c r="D16" s="144" t="s">
        <v>324</v>
      </c>
      <c r="E16" s="41" t="s">
        <v>338</v>
      </c>
      <c r="F16" s="13" t="s">
        <v>339</v>
      </c>
      <c r="G16" s="41" t="s">
        <v>327</v>
      </c>
      <c r="H16" s="13" t="s">
        <v>328</v>
      </c>
      <c r="I16" s="42" t="s">
        <v>329</v>
      </c>
    </row>
    <row r="17" spans="1:9" s="148" customFormat="1" ht="30" customHeight="1">
      <c r="A17" s="145" t="s">
        <v>340</v>
      </c>
      <c r="B17" s="233" t="s">
        <v>341</v>
      </c>
      <c r="C17" s="146">
        <f>D17</f>
        <v>46196415</v>
      </c>
      <c r="D17" s="147">
        <f>SUM(E17:H17)</f>
        <v>46196415</v>
      </c>
      <c r="E17" s="34">
        <v>12021535</v>
      </c>
      <c r="F17" s="162">
        <v>10225796</v>
      </c>
      <c r="G17" s="34">
        <v>21373291</v>
      </c>
      <c r="H17" s="34">
        <v>2575793</v>
      </c>
      <c r="I17" s="361" t="s">
        <v>333</v>
      </c>
    </row>
    <row r="18" spans="1:9" s="148" customFormat="1" ht="18.75" customHeight="1">
      <c r="A18" s="149" t="s">
        <v>342</v>
      </c>
      <c r="B18" s="161">
        <v>2001</v>
      </c>
      <c r="C18" s="150">
        <f>D18+I18</f>
        <v>25259840</v>
      </c>
      <c r="D18" s="151">
        <f>SUM(E18:H18)</f>
        <v>25259373</v>
      </c>
      <c r="E18" s="4">
        <v>7155554</v>
      </c>
      <c r="F18" s="10">
        <v>5197865</v>
      </c>
      <c r="G18" s="4">
        <v>11121431</v>
      </c>
      <c r="H18" s="4">
        <v>1784523</v>
      </c>
      <c r="I18" s="5">
        <v>467</v>
      </c>
    </row>
    <row r="19" spans="1:9" s="148" customFormat="1" ht="18.75" customHeight="1">
      <c r="A19" s="149" t="s">
        <v>343</v>
      </c>
      <c r="B19" s="161">
        <v>2002</v>
      </c>
      <c r="C19" s="150">
        <f>D19</f>
        <v>18075245</v>
      </c>
      <c r="D19" s="151">
        <f>SUM(E19:H19)</f>
        <v>18075245</v>
      </c>
      <c r="E19" s="4">
        <v>2198093</v>
      </c>
      <c r="F19" s="10">
        <v>2180309</v>
      </c>
      <c r="G19" s="4">
        <v>11849770</v>
      </c>
      <c r="H19" s="4">
        <v>1847073</v>
      </c>
      <c r="I19" s="360" t="s">
        <v>158</v>
      </c>
    </row>
    <row r="20" spans="1:9" s="148" customFormat="1" ht="18.75" customHeight="1">
      <c r="A20" s="149" t="s">
        <v>344</v>
      </c>
      <c r="B20" s="161">
        <v>2003</v>
      </c>
      <c r="C20" s="150">
        <f>D20</f>
        <v>17172892</v>
      </c>
      <c r="D20" s="151">
        <f>SUM(E20:H20)</f>
        <v>17172892</v>
      </c>
      <c r="E20" s="362" t="s">
        <v>158</v>
      </c>
      <c r="F20" s="10">
        <v>1266186</v>
      </c>
      <c r="G20" s="4">
        <v>13922313</v>
      </c>
      <c r="H20" s="4">
        <v>1984393</v>
      </c>
      <c r="I20" s="360" t="s">
        <v>158</v>
      </c>
    </row>
    <row r="21" spans="1:9" s="148" customFormat="1" ht="18.75" customHeight="1">
      <c r="A21" s="149" t="s">
        <v>345</v>
      </c>
      <c r="B21" s="161">
        <v>2004</v>
      </c>
      <c r="C21" s="150">
        <f>D21</f>
        <v>20327579</v>
      </c>
      <c r="D21" s="151">
        <f aca="true" t="shared" si="0" ref="D21:I21">SUM(D23:D31)</f>
        <v>20327579</v>
      </c>
      <c r="E21" s="362" t="s">
        <v>158</v>
      </c>
      <c r="F21" s="352">
        <f t="shared" si="0"/>
        <v>1857291</v>
      </c>
      <c r="G21" s="151">
        <f t="shared" si="0"/>
        <v>16922203</v>
      </c>
      <c r="H21" s="151">
        <f t="shared" si="0"/>
        <v>2086546</v>
      </c>
      <c r="I21" s="353">
        <f t="shared" si="0"/>
        <v>119</v>
      </c>
    </row>
    <row r="22" spans="1:9" s="148" customFormat="1" ht="9" customHeight="1">
      <c r="A22" s="152"/>
      <c r="B22" s="349"/>
      <c r="C22" s="150"/>
      <c r="D22" s="151"/>
      <c r="E22" s="151"/>
      <c r="F22" s="352"/>
      <c r="G22" s="151"/>
      <c r="H22" s="151"/>
      <c r="I22" s="354"/>
    </row>
    <row r="23" spans="1:9" s="148" customFormat="1" ht="18.75" customHeight="1">
      <c r="A23" s="363" t="s">
        <v>346</v>
      </c>
      <c r="B23" s="350" t="s">
        <v>347</v>
      </c>
      <c r="C23" s="150">
        <f>D23</f>
        <v>2797013</v>
      </c>
      <c r="D23" s="151">
        <f>SUM(E23:H23)</f>
        <v>2797013</v>
      </c>
      <c r="E23" s="362" t="s">
        <v>158</v>
      </c>
      <c r="F23" s="364" t="s">
        <v>158</v>
      </c>
      <c r="G23" s="151">
        <v>1997867</v>
      </c>
      <c r="H23" s="355">
        <v>799146</v>
      </c>
      <c r="I23" s="353">
        <v>112</v>
      </c>
    </row>
    <row r="24" spans="1:9" s="148" customFormat="1" ht="18.75" customHeight="1">
      <c r="A24" s="363" t="s">
        <v>656</v>
      </c>
      <c r="B24" s="350" t="s">
        <v>348</v>
      </c>
      <c r="C24" s="150">
        <f>D24</f>
        <v>9286458</v>
      </c>
      <c r="D24" s="151">
        <f aca="true" t="shared" si="1" ref="D24:D30">SUM(E24:H24)</f>
        <v>9286458</v>
      </c>
      <c r="E24" s="362" t="s">
        <v>158</v>
      </c>
      <c r="F24" s="163">
        <v>1857291</v>
      </c>
      <c r="G24" s="355">
        <v>7429167</v>
      </c>
      <c r="H24" s="362" t="s">
        <v>158</v>
      </c>
      <c r="I24" s="360" t="s">
        <v>158</v>
      </c>
    </row>
    <row r="25" spans="1:9" s="148" customFormat="1" ht="18.75" customHeight="1">
      <c r="A25" s="363" t="s">
        <v>349</v>
      </c>
      <c r="B25" s="350" t="s">
        <v>350</v>
      </c>
      <c r="C25" s="150">
        <f>D25</f>
        <v>2961136</v>
      </c>
      <c r="D25" s="151">
        <f t="shared" si="1"/>
        <v>2961136</v>
      </c>
      <c r="E25" s="362" t="s">
        <v>158</v>
      </c>
      <c r="F25" s="364" t="s">
        <v>158</v>
      </c>
      <c r="G25" s="355">
        <v>1974090</v>
      </c>
      <c r="H25" s="355">
        <v>987046</v>
      </c>
      <c r="I25" s="360" t="s">
        <v>158</v>
      </c>
    </row>
    <row r="26" spans="1:9" s="148" customFormat="1" ht="18.75" customHeight="1">
      <c r="A26" s="363" t="s">
        <v>657</v>
      </c>
      <c r="B26" s="350" t="s">
        <v>351</v>
      </c>
      <c r="C26" s="150">
        <f>D26</f>
        <v>4656294</v>
      </c>
      <c r="D26" s="151">
        <f t="shared" si="1"/>
        <v>4656294</v>
      </c>
      <c r="E26" s="362" t="s">
        <v>158</v>
      </c>
      <c r="F26" s="364" t="s">
        <v>158</v>
      </c>
      <c r="G26" s="355">
        <v>4656294</v>
      </c>
      <c r="H26" s="362" t="s">
        <v>158</v>
      </c>
      <c r="I26" s="360" t="s">
        <v>158</v>
      </c>
    </row>
    <row r="27" spans="1:9" s="148" customFormat="1" ht="18.75" customHeight="1">
      <c r="A27" s="363" t="s">
        <v>352</v>
      </c>
      <c r="B27" s="350" t="s">
        <v>353</v>
      </c>
      <c r="C27" s="150">
        <f>D27</f>
        <v>300354</v>
      </c>
      <c r="D27" s="151">
        <f t="shared" si="1"/>
        <v>300354</v>
      </c>
      <c r="E27" s="362" t="s">
        <v>158</v>
      </c>
      <c r="F27" s="364" t="s">
        <v>158</v>
      </c>
      <c r="G27" s="362" t="s">
        <v>158</v>
      </c>
      <c r="H27" s="355">
        <v>300354</v>
      </c>
      <c r="I27" s="360" t="s">
        <v>158</v>
      </c>
    </row>
    <row r="28" spans="1:9" s="148" customFormat="1" ht="18.75" customHeight="1">
      <c r="A28" s="363" t="s">
        <v>354</v>
      </c>
      <c r="B28" s="350" t="s">
        <v>355</v>
      </c>
      <c r="C28" s="365" t="s">
        <v>158</v>
      </c>
      <c r="D28" s="362" t="s">
        <v>158</v>
      </c>
      <c r="E28" s="362" t="s">
        <v>158</v>
      </c>
      <c r="F28" s="364" t="s">
        <v>158</v>
      </c>
      <c r="G28" s="355">
        <v>538461</v>
      </c>
      <c r="H28" s="362" t="s">
        <v>158</v>
      </c>
      <c r="I28" s="360" t="s">
        <v>158</v>
      </c>
    </row>
    <row r="29" spans="1:9" s="148" customFormat="1" ht="18.75" customHeight="1">
      <c r="A29" s="363" t="s">
        <v>356</v>
      </c>
      <c r="B29" s="350" t="s">
        <v>357</v>
      </c>
      <c r="C29" s="365" t="s">
        <v>158</v>
      </c>
      <c r="D29" s="362" t="s">
        <v>158</v>
      </c>
      <c r="E29" s="362" t="s">
        <v>158</v>
      </c>
      <c r="F29" s="364" t="s">
        <v>158</v>
      </c>
      <c r="G29" s="362" t="s">
        <v>158</v>
      </c>
      <c r="H29" s="362" t="s">
        <v>158</v>
      </c>
      <c r="I29" s="360" t="s">
        <v>158</v>
      </c>
    </row>
    <row r="30" spans="1:9" s="148" customFormat="1" ht="18.75" customHeight="1">
      <c r="A30" s="363" t="s">
        <v>358</v>
      </c>
      <c r="B30" s="350" t="s">
        <v>359</v>
      </c>
      <c r="C30" s="150">
        <f>D30</f>
        <v>791</v>
      </c>
      <c r="D30" s="151">
        <f t="shared" si="1"/>
        <v>791</v>
      </c>
      <c r="E30" s="362" t="s">
        <v>158</v>
      </c>
      <c r="F30" s="364" t="s">
        <v>158</v>
      </c>
      <c r="G30" s="355">
        <v>791</v>
      </c>
      <c r="H30" s="362" t="s">
        <v>158</v>
      </c>
      <c r="I30" s="360" t="s">
        <v>158</v>
      </c>
    </row>
    <row r="31" spans="1:9" s="153" customFormat="1" ht="18.75" customHeight="1" thickBot="1">
      <c r="A31" s="366" t="s">
        <v>360</v>
      </c>
      <c r="B31" s="351" t="s">
        <v>357</v>
      </c>
      <c r="C31" s="356">
        <f>D31</f>
        <v>325533</v>
      </c>
      <c r="D31" s="357">
        <f>SUM(E31:H31)</f>
        <v>325533</v>
      </c>
      <c r="E31" s="367" t="s">
        <v>158</v>
      </c>
      <c r="F31" s="368" t="s">
        <v>158</v>
      </c>
      <c r="G31" s="357">
        <v>325533</v>
      </c>
      <c r="H31" s="367" t="s">
        <v>158</v>
      </c>
      <c r="I31" s="358">
        <v>7</v>
      </c>
    </row>
    <row r="32" spans="1:9" s="153" customFormat="1" ht="13.5" customHeight="1">
      <c r="A32" s="143" t="s">
        <v>361</v>
      </c>
      <c r="B32" s="154"/>
      <c r="C32" s="155"/>
      <c r="D32" s="155"/>
      <c r="E32" s="156"/>
      <c r="F32" s="156"/>
      <c r="G32" s="157"/>
      <c r="H32" s="157"/>
      <c r="I32" s="157"/>
    </row>
    <row r="33" spans="1:10" s="159" customFormat="1" ht="13.5" customHeight="1">
      <c r="A33" s="143" t="s">
        <v>310</v>
      </c>
      <c r="B33" s="154"/>
      <c r="C33" s="158"/>
      <c r="D33" s="160"/>
      <c r="E33" s="160"/>
      <c r="I33" s="160"/>
      <c r="J33" s="160"/>
    </row>
    <row r="34" spans="1:10" s="159" customFormat="1" ht="13.5" customHeight="1">
      <c r="A34" s="142" t="s">
        <v>311</v>
      </c>
      <c r="C34" s="158"/>
      <c r="I34" s="160"/>
      <c r="J34" s="160"/>
    </row>
  </sheetData>
  <mergeCells count="10">
    <mergeCell ref="A2:E2"/>
    <mergeCell ref="F2:I2"/>
    <mergeCell ref="I4:I5"/>
    <mergeCell ref="C14:C15"/>
    <mergeCell ref="I14:I15"/>
    <mergeCell ref="A4:B6"/>
    <mergeCell ref="A14:B16"/>
    <mergeCell ref="D4:E4"/>
    <mergeCell ref="D14:E14"/>
    <mergeCell ref="C4:C5"/>
  </mergeCells>
  <printOptions/>
  <pageMargins left="1.1811023622047245" right="1.1811023622047245" top="1.5748031496062993" bottom="1.5748031496062993" header="0.5118110236220472" footer="0.9055118110236221"/>
  <pageSetup firstPageNumber="30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2.xml><?xml version="1.0" encoding="utf-8"?>
<worksheet xmlns="http://schemas.openxmlformats.org/spreadsheetml/2006/main" xmlns:r="http://schemas.openxmlformats.org/officeDocument/2006/relationships">
  <sheetPr>
    <tabColor indexed="29"/>
  </sheetPr>
  <dimension ref="A1:P36"/>
  <sheetViews>
    <sheetView showGridLines="0" zoomScale="120" zoomScaleNormal="120" workbookViewId="0" topLeftCell="A1">
      <selection activeCell="A1" sqref="A1"/>
    </sheetView>
  </sheetViews>
  <sheetFormatPr defaultColWidth="9.00390625" defaultRowHeight="16.5"/>
  <cols>
    <col min="1" max="1" width="11.625" style="14" customWidth="1"/>
    <col min="2" max="4" width="8.625" style="14" customWidth="1"/>
    <col min="5" max="5" width="12.125" style="14" customWidth="1"/>
    <col min="6" max="6" width="8.625" style="14" customWidth="1"/>
    <col min="7" max="7" width="8.125" style="14" customWidth="1"/>
    <col min="8" max="8" width="8.625" style="14" customWidth="1"/>
    <col min="9" max="9" width="9.25390625" style="14" customWidth="1"/>
    <col min="10" max="10" width="11.625" style="14" customWidth="1"/>
    <col min="11" max="12" width="9.25390625" style="14" customWidth="1"/>
    <col min="13" max="14" width="8.125" style="14" customWidth="1"/>
    <col min="15" max="16" width="9.625" style="14" customWidth="1"/>
    <col min="17" max="16384" width="9.00390625" style="14" customWidth="1"/>
  </cols>
  <sheetData>
    <row r="1" spans="1:16" s="15" customFormat="1" ht="18" customHeight="1">
      <c r="A1" s="12" t="s">
        <v>675</v>
      </c>
      <c r="B1" s="27"/>
      <c r="C1" s="27"/>
      <c r="D1" s="27"/>
      <c r="E1" s="27"/>
      <c r="P1" s="53" t="s">
        <v>696</v>
      </c>
    </row>
    <row r="2" spans="1:16" s="17" customFormat="1" ht="19.5" customHeight="1">
      <c r="A2" s="442" t="s">
        <v>384</v>
      </c>
      <c r="B2" s="441"/>
      <c r="C2" s="441"/>
      <c r="D2" s="441"/>
      <c r="E2" s="441"/>
      <c r="F2" s="441"/>
      <c r="G2" s="441"/>
      <c r="H2" s="441"/>
      <c r="I2" s="441" t="s">
        <v>385</v>
      </c>
      <c r="J2" s="441"/>
      <c r="K2" s="441"/>
      <c r="L2" s="441"/>
      <c r="M2" s="441"/>
      <c r="N2" s="441"/>
      <c r="O2" s="441"/>
      <c r="P2" s="441"/>
    </row>
    <row r="3" spans="1:16" s="17" customFormat="1" ht="19.5" customHeight="1">
      <c r="A3" s="441" t="s">
        <v>662</v>
      </c>
      <c r="B3" s="441"/>
      <c r="C3" s="441"/>
      <c r="D3" s="441"/>
      <c r="E3" s="441"/>
      <c r="F3" s="441"/>
      <c r="G3" s="441"/>
      <c r="H3" s="441"/>
      <c r="I3" s="441" t="s">
        <v>386</v>
      </c>
      <c r="J3" s="441"/>
      <c r="K3" s="441"/>
      <c r="L3" s="441"/>
      <c r="M3" s="441"/>
      <c r="N3" s="441"/>
      <c r="O3" s="441"/>
      <c r="P3" s="441"/>
    </row>
    <row r="4" spans="1:16" s="22" customFormat="1" ht="15" customHeight="1" thickBot="1">
      <c r="A4" s="169"/>
      <c r="B4" s="31"/>
      <c r="C4" s="31"/>
      <c r="D4" s="31"/>
      <c r="E4" s="31"/>
      <c r="F4" s="31"/>
      <c r="G4" s="31"/>
      <c r="H4" s="48" t="s">
        <v>308</v>
      </c>
      <c r="I4" s="36"/>
      <c r="J4" s="36"/>
      <c r="K4" s="36"/>
      <c r="L4" s="36"/>
      <c r="M4" s="36"/>
      <c r="N4" s="36"/>
      <c r="O4" s="92"/>
      <c r="P4" s="44" t="s">
        <v>390</v>
      </c>
    </row>
    <row r="5" spans="1:16" s="22" customFormat="1" ht="19.5" customHeight="1">
      <c r="A5" s="478" t="s">
        <v>364</v>
      </c>
      <c r="B5" s="170"/>
      <c r="C5" s="171"/>
      <c r="D5" s="369" t="s">
        <v>365</v>
      </c>
      <c r="E5" s="171"/>
      <c r="F5" s="171"/>
      <c r="G5" s="369" t="s">
        <v>366</v>
      </c>
      <c r="H5" s="171"/>
      <c r="I5" s="171"/>
      <c r="J5" s="171"/>
      <c r="K5" s="171"/>
      <c r="L5" s="171" t="s">
        <v>367</v>
      </c>
      <c r="M5" s="171"/>
      <c r="N5" s="171"/>
      <c r="O5" s="171"/>
      <c r="P5" s="171"/>
    </row>
    <row r="6" spans="1:16" s="22" customFormat="1" ht="19.5" customHeight="1">
      <c r="A6" s="479"/>
      <c r="B6" s="474" t="s">
        <v>237</v>
      </c>
      <c r="C6" s="480" t="s">
        <v>368</v>
      </c>
      <c r="D6" s="481"/>
      <c r="E6" s="481"/>
      <c r="F6" s="481"/>
      <c r="G6" s="481"/>
      <c r="H6" s="481"/>
      <c r="I6" s="172"/>
      <c r="J6" s="172"/>
      <c r="K6" s="172" t="s">
        <v>369</v>
      </c>
      <c r="L6" s="172"/>
      <c r="M6" s="172"/>
      <c r="N6" s="173"/>
      <c r="O6" s="470" t="s">
        <v>370</v>
      </c>
      <c r="P6" s="472" t="s">
        <v>371</v>
      </c>
    </row>
    <row r="7" spans="1:16" s="22" customFormat="1" ht="27.75" customHeight="1">
      <c r="A7" s="476" t="s">
        <v>372</v>
      </c>
      <c r="B7" s="475"/>
      <c r="C7" s="371" t="s">
        <v>312</v>
      </c>
      <c r="D7" s="371" t="s">
        <v>373</v>
      </c>
      <c r="E7" s="372" t="s">
        <v>374</v>
      </c>
      <c r="F7" s="372" t="s">
        <v>375</v>
      </c>
      <c r="G7" s="373" t="s">
        <v>376</v>
      </c>
      <c r="H7" s="374" t="s">
        <v>377</v>
      </c>
      <c r="I7" s="371" t="s">
        <v>378</v>
      </c>
      <c r="J7" s="374" t="s">
        <v>379</v>
      </c>
      <c r="K7" s="374" t="s">
        <v>380</v>
      </c>
      <c r="L7" s="374" t="s">
        <v>381</v>
      </c>
      <c r="M7" s="373" t="s">
        <v>382</v>
      </c>
      <c r="N7" s="373" t="s">
        <v>383</v>
      </c>
      <c r="O7" s="471"/>
      <c r="P7" s="473"/>
    </row>
    <row r="8" spans="1:16" s="49" customFormat="1" ht="39.75" customHeight="1" thickBot="1">
      <c r="A8" s="477"/>
      <c r="B8" s="18" t="s">
        <v>526</v>
      </c>
      <c r="C8" s="20" t="s">
        <v>713</v>
      </c>
      <c r="D8" s="20" t="s">
        <v>527</v>
      </c>
      <c r="E8" s="20" t="s">
        <v>528</v>
      </c>
      <c r="F8" s="20" t="s">
        <v>563</v>
      </c>
      <c r="G8" s="19" t="s">
        <v>530</v>
      </c>
      <c r="H8" s="19" t="s">
        <v>564</v>
      </c>
      <c r="I8" s="20" t="s">
        <v>565</v>
      </c>
      <c r="J8" s="19" t="s">
        <v>533</v>
      </c>
      <c r="K8" s="19" t="s">
        <v>566</v>
      </c>
      <c r="L8" s="19" t="s">
        <v>535</v>
      </c>
      <c r="M8" s="19" t="s">
        <v>567</v>
      </c>
      <c r="N8" s="19" t="s">
        <v>568</v>
      </c>
      <c r="O8" s="19" t="s">
        <v>569</v>
      </c>
      <c r="P8" s="21" t="s">
        <v>570</v>
      </c>
    </row>
    <row r="9" spans="1:16" s="22" customFormat="1" ht="18" customHeight="1">
      <c r="A9" s="375" t="s">
        <v>15</v>
      </c>
      <c r="B9" s="174">
        <v>40775474</v>
      </c>
      <c r="C9" s="175">
        <v>24888007</v>
      </c>
      <c r="D9" s="175">
        <v>15532466</v>
      </c>
      <c r="E9" s="376" t="s">
        <v>714</v>
      </c>
      <c r="F9" s="175">
        <v>492256</v>
      </c>
      <c r="G9" s="176">
        <v>884177</v>
      </c>
      <c r="H9" s="376" t="s">
        <v>714</v>
      </c>
      <c r="I9" s="175">
        <v>1047634</v>
      </c>
      <c r="J9" s="376" t="s">
        <v>714</v>
      </c>
      <c r="K9" s="176">
        <v>6598031</v>
      </c>
      <c r="L9" s="175">
        <v>5</v>
      </c>
      <c r="M9" s="376" t="s">
        <v>714</v>
      </c>
      <c r="N9" s="175">
        <v>333438</v>
      </c>
      <c r="O9" s="176">
        <v>491993</v>
      </c>
      <c r="P9" s="177">
        <v>15395474</v>
      </c>
    </row>
    <row r="10" spans="1:16" s="22" customFormat="1" ht="18" customHeight="1">
      <c r="A10" s="375" t="s">
        <v>16</v>
      </c>
      <c r="B10" s="174">
        <v>39042434</v>
      </c>
      <c r="C10" s="175">
        <v>21285798</v>
      </c>
      <c r="D10" s="175">
        <v>12524055</v>
      </c>
      <c r="E10" s="376" t="s">
        <v>714</v>
      </c>
      <c r="F10" s="175">
        <v>609424</v>
      </c>
      <c r="G10" s="176">
        <v>839307</v>
      </c>
      <c r="H10" s="376" t="s">
        <v>714</v>
      </c>
      <c r="I10" s="175">
        <v>1039400</v>
      </c>
      <c r="J10" s="376" t="s">
        <v>714</v>
      </c>
      <c r="K10" s="176">
        <v>5989044</v>
      </c>
      <c r="L10" s="175">
        <v>100</v>
      </c>
      <c r="M10" s="376" t="s">
        <v>714</v>
      </c>
      <c r="N10" s="176">
        <v>284468</v>
      </c>
      <c r="O10" s="176">
        <v>891535</v>
      </c>
      <c r="P10" s="177">
        <v>16865101</v>
      </c>
    </row>
    <row r="11" spans="1:16" s="22" customFormat="1" ht="18" customHeight="1">
      <c r="A11" s="379" t="s">
        <v>17</v>
      </c>
      <c r="B11" s="174">
        <v>38767997</v>
      </c>
      <c r="C11" s="175">
        <v>24893670</v>
      </c>
      <c r="D11" s="175">
        <v>15465126</v>
      </c>
      <c r="E11" s="376" t="s">
        <v>714</v>
      </c>
      <c r="F11" s="175">
        <v>726787</v>
      </c>
      <c r="G11" s="176">
        <v>865873</v>
      </c>
      <c r="H11" s="376" t="s">
        <v>714</v>
      </c>
      <c r="I11" s="175">
        <v>1178698</v>
      </c>
      <c r="J11" s="376" t="s">
        <v>714</v>
      </c>
      <c r="K11" s="176">
        <v>6078781</v>
      </c>
      <c r="L11" s="176">
        <v>2235</v>
      </c>
      <c r="M11" s="175">
        <v>320000</v>
      </c>
      <c r="N11" s="176">
        <v>256170</v>
      </c>
      <c r="O11" s="176">
        <v>1322175</v>
      </c>
      <c r="P11" s="177">
        <v>12552152</v>
      </c>
    </row>
    <row r="12" spans="1:16" s="22" customFormat="1" ht="13.5" customHeight="1">
      <c r="A12" s="385"/>
      <c r="B12" s="174"/>
      <c r="C12" s="175"/>
      <c r="D12" s="175"/>
      <c r="E12" s="175"/>
      <c r="F12" s="175"/>
      <c r="G12" s="176"/>
      <c r="H12" s="175"/>
      <c r="I12" s="175"/>
      <c r="J12" s="175"/>
      <c r="K12" s="176"/>
      <c r="L12" s="175"/>
      <c r="M12" s="175"/>
      <c r="N12" s="176"/>
      <c r="O12" s="176"/>
      <c r="P12" s="177"/>
    </row>
    <row r="13" spans="1:16" s="22" customFormat="1" ht="18" customHeight="1">
      <c r="A13" s="379" t="s">
        <v>18</v>
      </c>
      <c r="B13" s="174">
        <v>39424202</v>
      </c>
      <c r="C13" s="175">
        <v>26914329</v>
      </c>
      <c r="D13" s="175">
        <v>14914073</v>
      </c>
      <c r="E13" s="376" t="s">
        <v>714</v>
      </c>
      <c r="F13" s="175">
        <v>897163</v>
      </c>
      <c r="G13" s="176">
        <v>905987</v>
      </c>
      <c r="H13" s="376" t="s">
        <v>714</v>
      </c>
      <c r="I13" s="175">
        <v>1581324</v>
      </c>
      <c r="J13" s="376" t="s">
        <v>714</v>
      </c>
      <c r="K13" s="176">
        <v>7851882</v>
      </c>
      <c r="L13" s="175">
        <v>2911</v>
      </c>
      <c r="M13" s="175">
        <v>500000</v>
      </c>
      <c r="N13" s="176">
        <v>260989</v>
      </c>
      <c r="O13" s="176">
        <v>2366858</v>
      </c>
      <c r="P13" s="177">
        <v>10143015</v>
      </c>
    </row>
    <row r="14" spans="1:16" s="22" customFormat="1" ht="18" customHeight="1">
      <c r="A14" s="381" t="s">
        <v>19</v>
      </c>
      <c r="B14" s="174">
        <f>C14+O14+P14</f>
        <v>39998003</v>
      </c>
      <c r="C14" s="175">
        <f>SUM(D14:N14)</f>
        <v>28612415</v>
      </c>
      <c r="D14" s="175">
        <v>15928196</v>
      </c>
      <c r="E14" s="376" t="s">
        <v>714</v>
      </c>
      <c r="F14" s="175">
        <v>710208</v>
      </c>
      <c r="G14" s="176">
        <v>963016</v>
      </c>
      <c r="H14" s="376" t="s">
        <v>714</v>
      </c>
      <c r="I14" s="175">
        <v>1571776</v>
      </c>
      <c r="J14" s="376" t="s">
        <v>714</v>
      </c>
      <c r="K14" s="176">
        <v>8471397</v>
      </c>
      <c r="L14" s="175">
        <v>300428</v>
      </c>
      <c r="M14" s="175">
        <v>465880</v>
      </c>
      <c r="N14" s="176">
        <v>201514</v>
      </c>
      <c r="O14" s="176">
        <v>1397179</v>
      </c>
      <c r="P14" s="178">
        <v>9988409</v>
      </c>
    </row>
    <row r="15" spans="1:16" s="22" customFormat="1" ht="18" customHeight="1">
      <c r="A15" s="381" t="s">
        <v>20</v>
      </c>
      <c r="B15" s="174">
        <f>C15+O15+P15</f>
        <v>45656658</v>
      </c>
      <c r="C15" s="175">
        <f>SUM(D15:N15)</f>
        <v>36527878</v>
      </c>
      <c r="D15" s="175">
        <v>24386553</v>
      </c>
      <c r="E15" s="376" t="s">
        <v>714</v>
      </c>
      <c r="F15" s="175">
        <v>1540253</v>
      </c>
      <c r="G15" s="176">
        <v>1462770</v>
      </c>
      <c r="H15" s="376" t="s">
        <v>714</v>
      </c>
      <c r="I15" s="175">
        <v>1878659</v>
      </c>
      <c r="J15" s="376" t="s">
        <v>714</v>
      </c>
      <c r="K15" s="176">
        <v>5845988</v>
      </c>
      <c r="L15" s="175">
        <v>200742</v>
      </c>
      <c r="M15" s="175">
        <v>500000</v>
      </c>
      <c r="N15" s="176">
        <v>712913</v>
      </c>
      <c r="O15" s="176">
        <v>837081</v>
      </c>
      <c r="P15" s="178">
        <f>8140534+40428+110737</f>
        <v>8291699</v>
      </c>
    </row>
    <row r="16" spans="1:16" s="22" customFormat="1" ht="13.5" customHeight="1">
      <c r="A16" s="386"/>
      <c r="B16" s="174"/>
      <c r="C16" s="175"/>
      <c r="D16" s="175"/>
      <c r="E16" s="175"/>
      <c r="F16" s="175"/>
      <c r="G16" s="176"/>
      <c r="H16" s="175"/>
      <c r="I16" s="175"/>
      <c r="J16" s="175"/>
      <c r="K16" s="176"/>
      <c r="L16" s="175"/>
      <c r="M16" s="175"/>
      <c r="N16" s="176"/>
      <c r="O16" s="176"/>
      <c r="P16" s="178"/>
    </row>
    <row r="17" spans="1:16" s="22" customFormat="1" ht="18" customHeight="1">
      <c r="A17" s="381" t="s">
        <v>21</v>
      </c>
      <c r="B17" s="174">
        <f>C17+O17+P17</f>
        <v>33165750</v>
      </c>
      <c r="C17" s="175">
        <f>SUM(D17:N17)</f>
        <v>26147665</v>
      </c>
      <c r="D17" s="175">
        <v>12616184</v>
      </c>
      <c r="E17" s="376" t="s">
        <v>714</v>
      </c>
      <c r="F17" s="175">
        <v>1232024</v>
      </c>
      <c r="G17" s="176">
        <v>817662</v>
      </c>
      <c r="H17" s="376" t="s">
        <v>714</v>
      </c>
      <c r="I17" s="175">
        <f>177459+528</f>
        <v>177987</v>
      </c>
      <c r="J17" s="376" t="s">
        <v>714</v>
      </c>
      <c r="K17" s="176">
        <v>4183539</v>
      </c>
      <c r="L17" s="175">
        <v>62767</v>
      </c>
      <c r="M17" s="175">
        <v>6680500</v>
      </c>
      <c r="N17" s="176">
        <v>377002</v>
      </c>
      <c r="O17" s="176">
        <v>400189</v>
      </c>
      <c r="P17" s="178">
        <f>-600504+74756-12955+7156599</f>
        <v>6617896</v>
      </c>
    </row>
    <row r="18" spans="1:16" s="22" customFormat="1" ht="18" customHeight="1">
      <c r="A18" s="381" t="s">
        <v>22</v>
      </c>
      <c r="B18" s="174">
        <f>C18+O18+P18</f>
        <v>44231194</v>
      </c>
      <c r="C18" s="175">
        <f aca="true" t="shared" si="0" ref="C18:C34">SUM(D18:N18)</f>
        <v>36719052</v>
      </c>
      <c r="D18" s="175">
        <v>15521738</v>
      </c>
      <c r="E18" s="376" t="s">
        <v>714</v>
      </c>
      <c r="F18" s="175">
        <v>1297467</v>
      </c>
      <c r="G18" s="175">
        <v>855474</v>
      </c>
      <c r="H18" s="376" t="s">
        <v>714</v>
      </c>
      <c r="I18" s="175">
        <f>143393+202581</f>
        <v>345974</v>
      </c>
      <c r="J18" s="376" t="s">
        <v>714</v>
      </c>
      <c r="K18" s="175">
        <v>10452068</v>
      </c>
      <c r="L18" s="179">
        <v>145712</v>
      </c>
      <c r="M18" s="175">
        <v>6400000</v>
      </c>
      <c r="N18" s="179">
        <v>1700619</v>
      </c>
      <c r="O18" s="180">
        <v>1251389</v>
      </c>
      <c r="P18" s="178">
        <f>1434231+31295-286449+5081676</f>
        <v>6260753</v>
      </c>
    </row>
    <row r="19" spans="1:16" s="22" customFormat="1" ht="18" customHeight="1">
      <c r="A19" s="381" t="s">
        <v>23</v>
      </c>
      <c r="B19" s="174">
        <f>C19+O19+P19</f>
        <v>41802826</v>
      </c>
      <c r="C19" s="175">
        <f>SUM(D19:N19)</f>
        <v>36893817</v>
      </c>
      <c r="D19" s="175">
        <v>17503692</v>
      </c>
      <c r="E19" s="376" t="s">
        <v>733</v>
      </c>
      <c r="F19" s="175">
        <v>1305493</v>
      </c>
      <c r="G19" s="175">
        <v>873285</v>
      </c>
      <c r="H19" s="376" t="s">
        <v>733</v>
      </c>
      <c r="I19" s="175">
        <v>312391</v>
      </c>
      <c r="J19" s="376" t="s">
        <v>733</v>
      </c>
      <c r="K19" s="175">
        <v>10988554</v>
      </c>
      <c r="L19" s="179">
        <v>20305</v>
      </c>
      <c r="M19" s="175">
        <v>4670033</v>
      </c>
      <c r="N19" s="179">
        <v>1220064</v>
      </c>
      <c r="O19" s="180">
        <v>1135114</v>
      </c>
      <c r="P19" s="178">
        <f>-5081676+3825097+15555+5014919</f>
        <v>3773895</v>
      </c>
    </row>
    <row r="20" spans="1:16" s="22" customFormat="1" ht="13.5" customHeight="1">
      <c r="A20" s="186"/>
      <c r="B20" s="174"/>
      <c r="C20" s="175"/>
      <c r="D20" s="175"/>
      <c r="E20" s="175"/>
      <c r="F20" s="175"/>
      <c r="G20" s="176"/>
      <c r="H20" s="175"/>
      <c r="I20" s="175"/>
      <c r="J20" s="175"/>
      <c r="K20" s="176"/>
      <c r="L20" s="175"/>
      <c r="M20" s="175"/>
      <c r="N20" s="176"/>
      <c r="O20" s="176"/>
      <c r="P20" s="177"/>
    </row>
    <row r="21" spans="1:16" s="22" customFormat="1" ht="18" customHeight="1">
      <c r="A21" s="381" t="s">
        <v>24</v>
      </c>
      <c r="B21" s="174">
        <v>46834892</v>
      </c>
      <c r="C21" s="175">
        <f>SUM(D21:N21)</f>
        <v>45813778</v>
      </c>
      <c r="D21" s="175">
        <f>SUM(D23:D34)</f>
        <v>21383761</v>
      </c>
      <c r="E21" s="376" t="s">
        <v>714</v>
      </c>
      <c r="F21" s="175">
        <f aca="true" t="shared" si="1" ref="F21:M21">SUM(F23:F34)</f>
        <v>1518926</v>
      </c>
      <c r="G21" s="176">
        <f t="shared" si="1"/>
        <v>1246112</v>
      </c>
      <c r="H21" s="376" t="s">
        <v>714</v>
      </c>
      <c r="I21" s="179">
        <f t="shared" si="1"/>
        <v>779705</v>
      </c>
      <c r="J21" s="376" t="s">
        <v>714</v>
      </c>
      <c r="K21" s="176">
        <f t="shared" si="1"/>
        <v>11820072</v>
      </c>
      <c r="L21" s="175">
        <f t="shared" si="1"/>
        <v>65596</v>
      </c>
      <c r="M21" s="175">
        <f t="shared" si="1"/>
        <v>7829968</v>
      </c>
      <c r="N21" s="236">
        <v>1169638</v>
      </c>
      <c r="O21" s="236">
        <v>1485765</v>
      </c>
      <c r="P21" s="177">
        <f>-4676205+85855+5000000-874299</f>
        <v>-464649</v>
      </c>
    </row>
    <row r="22" spans="1:16" s="22" customFormat="1" ht="13.5" customHeight="1">
      <c r="A22" s="190"/>
      <c r="B22" s="174"/>
      <c r="C22" s="175"/>
      <c r="D22" s="175"/>
      <c r="E22" s="175"/>
      <c r="F22" s="175"/>
      <c r="G22" s="176"/>
      <c r="H22" s="175"/>
      <c r="I22" s="175"/>
      <c r="J22" s="175"/>
      <c r="K22" s="176"/>
      <c r="L22" s="175"/>
      <c r="M22" s="175"/>
      <c r="N22" s="176"/>
      <c r="O22" s="176"/>
      <c r="P22" s="177"/>
    </row>
    <row r="23" spans="1:16" s="22" customFormat="1" ht="18" customHeight="1">
      <c r="A23" s="382" t="s">
        <v>571</v>
      </c>
      <c r="B23" s="174">
        <f aca="true" t="shared" si="2" ref="B23:B32">C23+O23+P23</f>
        <v>3357525</v>
      </c>
      <c r="C23" s="175">
        <f t="shared" si="0"/>
        <v>3532270</v>
      </c>
      <c r="D23" s="175">
        <v>808648</v>
      </c>
      <c r="E23" s="376" t="s">
        <v>733</v>
      </c>
      <c r="F23" s="175">
        <v>11412</v>
      </c>
      <c r="G23" s="176">
        <v>26493</v>
      </c>
      <c r="H23" s="376" t="s">
        <v>733</v>
      </c>
      <c r="I23" s="175">
        <f>1898+0</f>
        <v>1898</v>
      </c>
      <c r="J23" s="376" t="s">
        <v>733</v>
      </c>
      <c r="K23" s="176">
        <v>2608194</v>
      </c>
      <c r="L23" s="175">
        <v>1229</v>
      </c>
      <c r="M23" s="376" t="s">
        <v>733</v>
      </c>
      <c r="N23" s="176">
        <v>74396</v>
      </c>
      <c r="O23" s="176">
        <v>529835</v>
      </c>
      <c r="P23" s="178">
        <f>-2306714+3726+1598408</f>
        <v>-704580</v>
      </c>
    </row>
    <row r="24" spans="1:16" s="22" customFormat="1" ht="18" customHeight="1">
      <c r="A24" s="382" t="s">
        <v>572</v>
      </c>
      <c r="B24" s="174">
        <f t="shared" si="2"/>
        <v>2466272</v>
      </c>
      <c r="C24" s="175">
        <f t="shared" si="0"/>
        <v>1730773</v>
      </c>
      <c r="D24" s="175">
        <v>1201075</v>
      </c>
      <c r="E24" s="376" t="s">
        <v>733</v>
      </c>
      <c r="F24" s="175">
        <v>81564</v>
      </c>
      <c r="G24" s="176">
        <v>99446</v>
      </c>
      <c r="H24" s="376" t="s">
        <v>733</v>
      </c>
      <c r="I24" s="175">
        <f>14283</f>
        <v>14283</v>
      </c>
      <c r="J24" s="376" t="s">
        <v>733</v>
      </c>
      <c r="K24" s="176">
        <v>235902</v>
      </c>
      <c r="L24" s="175">
        <v>2300</v>
      </c>
      <c r="M24" s="376" t="s">
        <v>733</v>
      </c>
      <c r="N24" s="176">
        <v>96203</v>
      </c>
      <c r="O24" s="176">
        <v>266516</v>
      </c>
      <c r="P24" s="178">
        <f>-13251+4608+477626</f>
        <v>468983</v>
      </c>
    </row>
    <row r="25" spans="1:16" s="22" customFormat="1" ht="18" customHeight="1">
      <c r="A25" s="382" t="s">
        <v>573</v>
      </c>
      <c r="B25" s="174">
        <f t="shared" si="2"/>
        <v>4986888</v>
      </c>
      <c r="C25" s="175">
        <f t="shared" si="0"/>
        <v>9321099</v>
      </c>
      <c r="D25" s="175">
        <v>1081233</v>
      </c>
      <c r="E25" s="376" t="s">
        <v>733</v>
      </c>
      <c r="F25" s="175">
        <v>96240</v>
      </c>
      <c r="G25" s="176">
        <v>104631</v>
      </c>
      <c r="H25" s="376" t="s">
        <v>733</v>
      </c>
      <c r="I25" s="175">
        <f>13796+145847</f>
        <v>159643</v>
      </c>
      <c r="J25" s="376" t="s">
        <v>733</v>
      </c>
      <c r="K25" s="176">
        <v>1761262</v>
      </c>
      <c r="L25" s="175">
        <v>43478</v>
      </c>
      <c r="M25" s="175">
        <v>5829968</v>
      </c>
      <c r="N25" s="176">
        <v>244644</v>
      </c>
      <c r="O25" s="176">
        <v>98696</v>
      </c>
      <c r="P25" s="178">
        <f>-5158193+133+725153</f>
        <v>-4432907</v>
      </c>
    </row>
    <row r="26" spans="1:16" s="22" customFormat="1" ht="18" customHeight="1">
      <c r="A26" s="382" t="s">
        <v>574</v>
      </c>
      <c r="B26" s="174">
        <f t="shared" si="2"/>
        <v>5123342</v>
      </c>
      <c r="C26" s="175">
        <f t="shared" si="0"/>
        <v>3830260</v>
      </c>
      <c r="D26" s="175">
        <v>2847105</v>
      </c>
      <c r="E26" s="376" t="s">
        <v>733</v>
      </c>
      <c r="F26" s="175">
        <v>125385</v>
      </c>
      <c r="G26" s="176">
        <v>103637</v>
      </c>
      <c r="H26" s="376" t="s">
        <v>733</v>
      </c>
      <c r="I26" s="175">
        <f>1839-22500</f>
        <v>-20661</v>
      </c>
      <c r="J26" s="376" t="s">
        <v>733</v>
      </c>
      <c r="K26" s="176">
        <v>667715</v>
      </c>
      <c r="L26" s="175">
        <v>4143</v>
      </c>
      <c r="M26" s="376" t="s">
        <v>733</v>
      </c>
      <c r="N26" s="176">
        <v>102936</v>
      </c>
      <c r="O26" s="176">
        <v>173268</v>
      </c>
      <c r="P26" s="178">
        <f>823+514+1118477</f>
        <v>1119814</v>
      </c>
    </row>
    <row r="27" spans="1:16" s="22" customFormat="1" ht="18" customHeight="1">
      <c r="A27" s="382" t="s">
        <v>575</v>
      </c>
      <c r="B27" s="174">
        <f t="shared" si="2"/>
        <v>602290</v>
      </c>
      <c r="C27" s="175">
        <f t="shared" si="0"/>
        <v>4902093</v>
      </c>
      <c r="D27" s="175">
        <v>3725415</v>
      </c>
      <c r="E27" s="376" t="s">
        <v>733</v>
      </c>
      <c r="F27" s="175">
        <v>106246</v>
      </c>
      <c r="G27" s="176">
        <v>93423</v>
      </c>
      <c r="H27" s="376" t="s">
        <v>733</v>
      </c>
      <c r="I27" s="175">
        <f>3245+129682</f>
        <v>132927</v>
      </c>
      <c r="J27" s="376" t="s">
        <v>733</v>
      </c>
      <c r="K27" s="176">
        <v>747046</v>
      </c>
      <c r="L27" s="175">
        <v>6291</v>
      </c>
      <c r="M27" s="376" t="s">
        <v>733</v>
      </c>
      <c r="N27" s="176">
        <v>90745</v>
      </c>
      <c r="O27" s="176">
        <v>197891</v>
      </c>
      <c r="P27" s="177">
        <f>-4257863+3104+73125-316060</f>
        <v>-4497694</v>
      </c>
    </row>
    <row r="28" spans="1:16" s="22" customFormat="1" ht="18" customHeight="1">
      <c r="A28" s="382" t="s">
        <v>576</v>
      </c>
      <c r="B28" s="174">
        <f t="shared" si="2"/>
        <v>7734742</v>
      </c>
      <c r="C28" s="175">
        <f t="shared" si="0"/>
        <v>3325626</v>
      </c>
      <c r="D28" s="175">
        <v>2473595</v>
      </c>
      <c r="E28" s="376" t="s">
        <v>733</v>
      </c>
      <c r="F28" s="175">
        <v>108033</v>
      </c>
      <c r="G28" s="176">
        <v>82795</v>
      </c>
      <c r="H28" s="376" t="s">
        <v>733</v>
      </c>
      <c r="I28" s="175">
        <f>6708+2490</f>
        <v>9198</v>
      </c>
      <c r="J28" s="376" t="s">
        <v>733</v>
      </c>
      <c r="K28" s="176">
        <v>545043</v>
      </c>
      <c r="L28" s="175">
        <v>3830</v>
      </c>
      <c r="M28" s="376" t="s">
        <v>733</v>
      </c>
      <c r="N28" s="176">
        <v>103132</v>
      </c>
      <c r="O28" s="176">
        <v>162196</v>
      </c>
      <c r="P28" s="177">
        <f>5014919+400+41-768440</f>
        <v>4246920</v>
      </c>
    </row>
    <row r="29" spans="1:16" s="22" customFormat="1" ht="18" customHeight="1">
      <c r="A29" s="382" t="s">
        <v>577</v>
      </c>
      <c r="B29" s="174">
        <f t="shared" si="2"/>
        <v>4039115</v>
      </c>
      <c r="C29" s="175">
        <f t="shared" si="0"/>
        <v>2225966</v>
      </c>
      <c r="D29" s="175">
        <v>1189856</v>
      </c>
      <c r="E29" s="376" t="s">
        <v>733</v>
      </c>
      <c r="F29" s="175">
        <v>120617</v>
      </c>
      <c r="G29" s="176">
        <v>130525</v>
      </c>
      <c r="H29" s="376" t="s">
        <v>733</v>
      </c>
      <c r="I29" s="175">
        <f>17348+860</f>
        <v>18208</v>
      </c>
      <c r="J29" s="376" t="s">
        <v>733</v>
      </c>
      <c r="K29" s="176">
        <v>683415</v>
      </c>
      <c r="L29" s="376" t="s">
        <v>733</v>
      </c>
      <c r="M29" s="376" t="s">
        <v>733</v>
      </c>
      <c r="N29" s="176">
        <v>83345</v>
      </c>
      <c r="O29" s="176">
        <v>567625</v>
      </c>
      <c r="P29" s="177">
        <f>720+502+1244302</f>
        <v>1245524</v>
      </c>
    </row>
    <row r="30" spans="1:16" s="22" customFormat="1" ht="18" customHeight="1">
      <c r="A30" s="382" t="s">
        <v>578</v>
      </c>
      <c r="B30" s="174">
        <f t="shared" si="2"/>
        <v>5464375</v>
      </c>
      <c r="C30" s="175">
        <f t="shared" si="0"/>
        <v>2043118</v>
      </c>
      <c r="D30" s="175">
        <v>988303</v>
      </c>
      <c r="E30" s="376" t="s">
        <v>733</v>
      </c>
      <c r="F30" s="175">
        <v>116967</v>
      </c>
      <c r="G30" s="176">
        <v>87231</v>
      </c>
      <c r="H30" s="376" t="s">
        <v>733</v>
      </c>
      <c r="I30" s="175">
        <f>3903+1423</f>
        <v>5326</v>
      </c>
      <c r="J30" s="376" t="s">
        <v>733</v>
      </c>
      <c r="K30" s="176">
        <v>767563</v>
      </c>
      <c r="L30" s="376" t="s">
        <v>733</v>
      </c>
      <c r="M30" s="376" t="s">
        <v>733</v>
      </c>
      <c r="N30" s="176">
        <v>77728</v>
      </c>
      <c r="O30" s="176">
        <v>48405</v>
      </c>
      <c r="P30" s="177">
        <f>2666+241+3369945</f>
        <v>3372852</v>
      </c>
    </row>
    <row r="31" spans="1:16" s="22" customFormat="1" ht="18" customHeight="1">
      <c r="A31" s="382" t="s">
        <v>579</v>
      </c>
      <c r="B31" s="174">
        <f t="shared" si="2"/>
        <v>6694087</v>
      </c>
      <c r="C31" s="175">
        <f t="shared" si="0"/>
        <v>3949236</v>
      </c>
      <c r="D31" s="175">
        <v>1010718</v>
      </c>
      <c r="E31" s="376" t="s">
        <v>733</v>
      </c>
      <c r="F31" s="175">
        <v>97639</v>
      </c>
      <c r="G31" s="176">
        <v>84242</v>
      </c>
      <c r="H31" s="376" t="s">
        <v>733</v>
      </c>
      <c r="I31" s="175">
        <f>3855+151789</f>
        <v>155644</v>
      </c>
      <c r="J31" s="376" t="s">
        <v>733</v>
      </c>
      <c r="K31" s="176">
        <v>484691</v>
      </c>
      <c r="L31" s="175">
        <v>1600</v>
      </c>
      <c r="M31" s="175">
        <v>2000000</v>
      </c>
      <c r="N31" s="176">
        <v>114702</v>
      </c>
      <c r="O31" s="176">
        <v>150155</v>
      </c>
      <c r="P31" s="177">
        <f>5680+628+2588388</f>
        <v>2594696</v>
      </c>
    </row>
    <row r="32" spans="1:16" s="22" customFormat="1" ht="18" customHeight="1">
      <c r="A32" s="382" t="s">
        <v>580</v>
      </c>
      <c r="B32" s="235">
        <f t="shared" si="2"/>
        <v>3160080</v>
      </c>
      <c r="C32" s="175">
        <f t="shared" si="0"/>
        <v>1603021</v>
      </c>
      <c r="D32" s="175">
        <v>773226</v>
      </c>
      <c r="E32" s="376" t="s">
        <v>733</v>
      </c>
      <c r="F32" s="175">
        <v>102413</v>
      </c>
      <c r="G32" s="176">
        <v>80085</v>
      </c>
      <c r="H32" s="376" t="s">
        <v>733</v>
      </c>
      <c r="I32" s="175">
        <f>21606+64</f>
        <v>21670</v>
      </c>
      <c r="J32" s="376" t="s">
        <v>733</v>
      </c>
      <c r="K32" s="176">
        <v>508280</v>
      </c>
      <c r="L32" s="376" t="s">
        <v>733</v>
      </c>
      <c r="M32" s="376" t="s">
        <v>733</v>
      </c>
      <c r="N32" s="176">
        <v>117347</v>
      </c>
      <c r="O32" s="176">
        <v>26804</v>
      </c>
      <c r="P32" s="177">
        <f>201694+328+1328233</f>
        <v>1530255</v>
      </c>
    </row>
    <row r="33" spans="1:16" s="22" customFormat="1" ht="18" customHeight="1">
      <c r="A33" s="382" t="s">
        <v>581</v>
      </c>
      <c r="B33" s="235">
        <v>2875135</v>
      </c>
      <c r="C33" s="175">
        <f>SUM(D33:N33)</f>
        <v>2497338</v>
      </c>
      <c r="D33" s="175">
        <v>1567447</v>
      </c>
      <c r="E33" s="376" t="s">
        <v>733</v>
      </c>
      <c r="F33" s="175">
        <v>99500</v>
      </c>
      <c r="G33" s="176">
        <v>97371</v>
      </c>
      <c r="H33" s="376" t="s">
        <v>733</v>
      </c>
      <c r="I33" s="175">
        <f>-4231+2294</f>
        <v>-1937</v>
      </c>
      <c r="J33" s="376" t="s">
        <v>733</v>
      </c>
      <c r="K33" s="176">
        <v>647407</v>
      </c>
      <c r="L33" s="175">
        <v>325</v>
      </c>
      <c r="M33" s="376" t="s">
        <v>733</v>
      </c>
      <c r="N33" s="176">
        <v>87225</v>
      </c>
      <c r="O33" s="176">
        <v>16418</v>
      </c>
      <c r="P33" s="177">
        <f>1612+255+359514</f>
        <v>361381</v>
      </c>
    </row>
    <row r="34" spans="1:16" s="22" customFormat="1" ht="18" customHeight="1" thickBot="1">
      <c r="A34" s="383" t="s">
        <v>582</v>
      </c>
      <c r="B34" s="234">
        <v>1088098</v>
      </c>
      <c r="C34" s="182">
        <f t="shared" si="0"/>
        <v>6852979</v>
      </c>
      <c r="D34" s="182">
        <v>3717140</v>
      </c>
      <c r="E34" s="384" t="s">
        <v>733</v>
      </c>
      <c r="F34" s="182">
        <v>452910</v>
      </c>
      <c r="G34" s="183">
        <v>256233</v>
      </c>
      <c r="H34" s="384" t="s">
        <v>733</v>
      </c>
      <c r="I34" s="182">
        <f>21588+261918</f>
        <v>283506</v>
      </c>
      <c r="J34" s="384" t="s">
        <v>733</v>
      </c>
      <c r="K34" s="183">
        <v>2163554</v>
      </c>
      <c r="L34" s="182">
        <v>2400</v>
      </c>
      <c r="M34" s="384" t="s">
        <v>733</v>
      </c>
      <c r="N34" s="183">
        <v>-22764</v>
      </c>
      <c r="O34" s="183">
        <v>-752045</v>
      </c>
      <c r="P34" s="184">
        <f>278540+1754-400000-4893131</f>
        <v>-5012837</v>
      </c>
    </row>
    <row r="35" spans="1:9" s="37" customFormat="1" ht="15" customHeight="1">
      <c r="A35" s="167" t="s">
        <v>388</v>
      </c>
      <c r="B35" s="185"/>
      <c r="C35" s="185"/>
      <c r="D35" s="185"/>
      <c r="E35" s="185"/>
      <c r="F35" s="185"/>
      <c r="G35" s="185"/>
      <c r="H35" s="185"/>
      <c r="I35" s="37" t="s">
        <v>389</v>
      </c>
    </row>
    <row r="36" spans="9:16" ht="12.75">
      <c r="I36" s="165"/>
      <c r="J36" s="165"/>
      <c r="K36" s="165"/>
      <c r="L36" s="165"/>
      <c r="M36" s="165"/>
      <c r="N36" s="165"/>
      <c r="O36" s="165"/>
      <c r="P36" s="165"/>
    </row>
  </sheetData>
  <mergeCells count="10">
    <mergeCell ref="O6:O7"/>
    <mergeCell ref="P6:P7"/>
    <mergeCell ref="B6:B7"/>
    <mergeCell ref="I2:P2"/>
    <mergeCell ref="A3:H3"/>
    <mergeCell ref="I3:P3"/>
    <mergeCell ref="A2:H2"/>
    <mergeCell ref="A7:A8"/>
    <mergeCell ref="A5:A6"/>
    <mergeCell ref="C6:H6"/>
  </mergeCells>
  <printOptions/>
  <pageMargins left="1.1811023622047245" right="1.1811023622047245" top="1.5748031496062993" bottom="1.5748031496062993" header="0.5118110236220472" footer="0.9055118110236221"/>
  <pageSetup firstPageNumber="302"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3.xml><?xml version="1.0" encoding="utf-8"?>
<worksheet xmlns="http://schemas.openxmlformats.org/spreadsheetml/2006/main" xmlns:r="http://schemas.openxmlformats.org/officeDocument/2006/relationships">
  <sheetPr>
    <tabColor indexed="29"/>
  </sheetPr>
  <dimension ref="A1:R34"/>
  <sheetViews>
    <sheetView showGridLines="0" workbookViewId="0" topLeftCell="A1">
      <selection activeCell="A1" sqref="A1"/>
    </sheetView>
  </sheetViews>
  <sheetFormatPr defaultColWidth="9.00390625" defaultRowHeight="16.5"/>
  <cols>
    <col min="1" max="1" width="11.625" style="14" customWidth="1"/>
    <col min="2" max="3" width="7.625" style="14" customWidth="1"/>
    <col min="4" max="7" width="8.625" style="14" customWidth="1"/>
    <col min="8" max="8" width="13.625" style="14" customWidth="1"/>
    <col min="9" max="9" width="8.125" style="14" customWidth="1"/>
    <col min="10" max="10" width="7.625" style="14" customWidth="1"/>
    <col min="11" max="11" width="7.25390625" style="14" customWidth="1"/>
    <col min="12" max="13" width="7.125" style="14" customWidth="1"/>
    <col min="14" max="14" width="9.625" style="14" customWidth="1"/>
    <col min="15" max="15" width="5.125" style="14" customWidth="1"/>
    <col min="16" max="18" width="7.625" style="14" customWidth="1"/>
    <col min="19" max="16384" width="9.00390625" style="14" customWidth="1"/>
  </cols>
  <sheetData>
    <row r="1" spans="1:18" s="15" customFormat="1" ht="18" customHeight="1">
      <c r="A1" s="12" t="s">
        <v>675</v>
      </c>
      <c r="B1" s="27"/>
      <c r="C1" s="27"/>
      <c r="D1" s="27"/>
      <c r="E1" s="27"/>
      <c r="R1" s="53" t="s">
        <v>696</v>
      </c>
    </row>
    <row r="2" spans="1:18" s="17" customFormat="1" ht="19.5" customHeight="1">
      <c r="A2" s="442" t="s">
        <v>742</v>
      </c>
      <c r="B2" s="441"/>
      <c r="C2" s="441"/>
      <c r="D2" s="441"/>
      <c r="E2" s="441"/>
      <c r="F2" s="441"/>
      <c r="G2" s="441"/>
      <c r="H2" s="441"/>
      <c r="I2" s="441" t="s">
        <v>743</v>
      </c>
      <c r="J2" s="441"/>
      <c r="K2" s="441"/>
      <c r="L2" s="441"/>
      <c r="M2" s="441"/>
      <c r="N2" s="441"/>
      <c r="O2" s="441"/>
      <c r="P2" s="441"/>
      <c r="Q2" s="441"/>
      <c r="R2" s="441"/>
    </row>
    <row r="3" spans="1:18" s="17" customFormat="1" ht="19.5" customHeight="1">
      <c r="A3" s="441" t="s">
        <v>629</v>
      </c>
      <c r="B3" s="441"/>
      <c r="C3" s="441"/>
      <c r="D3" s="441"/>
      <c r="E3" s="441"/>
      <c r="F3" s="441"/>
      <c r="G3" s="441"/>
      <c r="H3" s="441"/>
      <c r="I3" s="441" t="s">
        <v>630</v>
      </c>
      <c r="J3" s="441"/>
      <c r="K3" s="441"/>
      <c r="L3" s="441"/>
      <c r="M3" s="441"/>
      <c r="N3" s="441"/>
      <c r="O3" s="441"/>
      <c r="P3" s="441"/>
      <c r="Q3" s="441"/>
      <c r="R3" s="441"/>
    </row>
    <row r="4" spans="1:18" s="22" customFormat="1" ht="15" customHeight="1" thickBot="1">
      <c r="A4" s="169"/>
      <c r="B4" s="31"/>
      <c r="C4" s="31"/>
      <c r="D4" s="31"/>
      <c r="E4" s="31"/>
      <c r="F4" s="31"/>
      <c r="G4" s="31"/>
      <c r="H4" s="48" t="s">
        <v>292</v>
      </c>
      <c r="I4" s="36"/>
      <c r="J4" s="36"/>
      <c r="K4" s="36"/>
      <c r="L4" s="36"/>
      <c r="M4" s="36"/>
      <c r="N4" s="36"/>
      <c r="O4" s="36"/>
      <c r="P4" s="36"/>
      <c r="R4" s="44" t="s">
        <v>387</v>
      </c>
    </row>
    <row r="5" spans="1:18" s="22" customFormat="1" ht="19.5" customHeight="1">
      <c r="A5" s="187"/>
      <c r="B5" s="170"/>
      <c r="C5" s="171"/>
      <c r="D5" s="369" t="s">
        <v>391</v>
      </c>
      <c r="E5" s="171"/>
      <c r="F5" s="369" t="s">
        <v>392</v>
      </c>
      <c r="G5" s="171"/>
      <c r="H5" s="171"/>
      <c r="I5" s="171"/>
      <c r="J5" s="171"/>
      <c r="K5" s="171"/>
      <c r="L5" s="171"/>
      <c r="M5" s="171" t="s">
        <v>625</v>
      </c>
      <c r="N5" s="171"/>
      <c r="O5" s="171"/>
      <c r="P5" s="171"/>
      <c r="Q5" s="188"/>
      <c r="R5" s="483" t="s">
        <v>393</v>
      </c>
    </row>
    <row r="6" spans="1:18" s="22" customFormat="1" ht="19.5" customHeight="1">
      <c r="A6" s="387" t="s">
        <v>394</v>
      </c>
      <c r="B6" s="474" t="s">
        <v>395</v>
      </c>
      <c r="C6" s="480" t="s">
        <v>396</v>
      </c>
      <c r="D6" s="481"/>
      <c r="E6" s="481"/>
      <c r="F6" s="481"/>
      <c r="G6" s="481"/>
      <c r="H6" s="481"/>
      <c r="I6" s="189"/>
      <c r="J6" s="172"/>
      <c r="K6" s="189" t="s">
        <v>659</v>
      </c>
      <c r="L6" s="189"/>
      <c r="M6" s="172"/>
      <c r="N6" s="172"/>
      <c r="O6" s="173"/>
      <c r="P6" s="470" t="s">
        <v>397</v>
      </c>
      <c r="Q6" s="470" t="s">
        <v>409</v>
      </c>
      <c r="R6" s="484"/>
    </row>
    <row r="7" spans="1:18" s="22" customFormat="1" ht="27.75" customHeight="1">
      <c r="A7" s="476" t="s">
        <v>398</v>
      </c>
      <c r="B7" s="475"/>
      <c r="C7" s="371" t="s">
        <v>410</v>
      </c>
      <c r="D7" s="372" t="s">
        <v>399</v>
      </c>
      <c r="E7" s="372" t="s">
        <v>400</v>
      </c>
      <c r="F7" s="372" t="s">
        <v>401</v>
      </c>
      <c r="G7" s="374" t="s">
        <v>402</v>
      </c>
      <c r="H7" s="374" t="s">
        <v>411</v>
      </c>
      <c r="I7" s="372" t="s">
        <v>403</v>
      </c>
      <c r="J7" s="371" t="s">
        <v>404</v>
      </c>
      <c r="K7" s="374" t="s">
        <v>405</v>
      </c>
      <c r="L7" s="373" t="s">
        <v>406</v>
      </c>
      <c r="M7" s="374" t="s">
        <v>412</v>
      </c>
      <c r="N7" s="374" t="s">
        <v>407</v>
      </c>
      <c r="O7" s="374" t="s">
        <v>408</v>
      </c>
      <c r="P7" s="482"/>
      <c r="Q7" s="482"/>
      <c r="R7" s="484"/>
    </row>
    <row r="8" spans="1:18" s="49" customFormat="1" ht="39.75" customHeight="1" thickBot="1">
      <c r="A8" s="477"/>
      <c r="B8" s="18" t="s">
        <v>526</v>
      </c>
      <c r="C8" s="20" t="s">
        <v>713</v>
      </c>
      <c r="D8" s="20" t="s">
        <v>583</v>
      </c>
      <c r="E8" s="20" t="s">
        <v>584</v>
      </c>
      <c r="F8" s="20" t="s">
        <v>585</v>
      </c>
      <c r="G8" s="20" t="s">
        <v>586</v>
      </c>
      <c r="H8" s="19" t="s">
        <v>587</v>
      </c>
      <c r="I8" s="20" t="s">
        <v>588</v>
      </c>
      <c r="J8" s="20" t="s">
        <v>538</v>
      </c>
      <c r="K8" s="19" t="s">
        <v>589</v>
      </c>
      <c r="L8" s="19" t="s">
        <v>590</v>
      </c>
      <c r="M8" s="19" t="s">
        <v>591</v>
      </c>
      <c r="N8" s="19" t="s">
        <v>592</v>
      </c>
      <c r="O8" s="19" t="s">
        <v>568</v>
      </c>
      <c r="P8" s="19" t="s">
        <v>569</v>
      </c>
      <c r="Q8" s="19" t="s">
        <v>593</v>
      </c>
      <c r="R8" s="21" t="s">
        <v>594</v>
      </c>
    </row>
    <row r="9" spans="1:18" s="22" customFormat="1" ht="18.75" customHeight="1">
      <c r="A9" s="375" t="s">
        <v>15</v>
      </c>
      <c r="B9" s="174">
        <f>C9+P9+Q9</f>
        <v>23798298</v>
      </c>
      <c r="C9" s="175">
        <f>SUM(D9:O9)</f>
        <v>22207089</v>
      </c>
      <c r="D9" s="175">
        <v>2475115</v>
      </c>
      <c r="E9" s="175">
        <v>11644290</v>
      </c>
      <c r="F9" s="175">
        <v>2283883</v>
      </c>
      <c r="G9" s="176">
        <v>1708699</v>
      </c>
      <c r="H9" s="175">
        <v>499185</v>
      </c>
      <c r="I9" s="376" t="s">
        <v>714</v>
      </c>
      <c r="J9" s="175">
        <v>2327828</v>
      </c>
      <c r="K9" s="376" t="s">
        <v>714</v>
      </c>
      <c r="L9" s="176">
        <v>245691</v>
      </c>
      <c r="M9" s="175">
        <v>1022398</v>
      </c>
      <c r="N9" s="376" t="s">
        <v>714</v>
      </c>
      <c r="O9" s="376" t="s">
        <v>714</v>
      </c>
      <c r="P9" s="175">
        <v>1812897</v>
      </c>
      <c r="Q9" s="176">
        <v>-221688</v>
      </c>
      <c r="R9" s="177">
        <v>17319004</v>
      </c>
    </row>
    <row r="10" spans="1:18" s="22" customFormat="1" ht="18.75" customHeight="1">
      <c r="A10" s="375" t="s">
        <v>16</v>
      </c>
      <c r="B10" s="174">
        <f>C10+P10+Q10</f>
        <v>26676421</v>
      </c>
      <c r="C10" s="175">
        <f>SUM(D10:O10)</f>
        <v>23264539</v>
      </c>
      <c r="D10" s="175">
        <v>2541848</v>
      </c>
      <c r="E10" s="175">
        <v>12561419</v>
      </c>
      <c r="F10" s="175">
        <v>1922962</v>
      </c>
      <c r="G10" s="176">
        <v>2018604</v>
      </c>
      <c r="H10" s="175">
        <v>445677</v>
      </c>
      <c r="I10" s="376" t="s">
        <v>714</v>
      </c>
      <c r="J10" s="175">
        <v>2507126</v>
      </c>
      <c r="K10" s="376" t="s">
        <v>714</v>
      </c>
      <c r="L10" s="176">
        <v>245692</v>
      </c>
      <c r="M10" s="175">
        <v>1021211</v>
      </c>
      <c r="N10" s="376" t="s">
        <v>714</v>
      </c>
      <c r="O10" s="376" t="s">
        <v>714</v>
      </c>
      <c r="P10" s="176">
        <v>2369033</v>
      </c>
      <c r="Q10" s="176">
        <v>1042849</v>
      </c>
      <c r="R10" s="177">
        <v>12778295</v>
      </c>
    </row>
    <row r="11" spans="1:18" s="22" customFormat="1" ht="18.75" customHeight="1">
      <c r="A11" s="379" t="s">
        <v>17</v>
      </c>
      <c r="B11" s="174">
        <f>C11+P11+Q11</f>
        <v>28979096</v>
      </c>
      <c r="C11" s="175">
        <f>SUM(D11:O11)</f>
        <v>26444248</v>
      </c>
      <c r="D11" s="175">
        <v>2874076</v>
      </c>
      <c r="E11" s="175">
        <v>11935250</v>
      </c>
      <c r="F11" s="175">
        <v>2851536</v>
      </c>
      <c r="G11" s="176">
        <v>4114527</v>
      </c>
      <c r="H11" s="175">
        <v>579893</v>
      </c>
      <c r="I11" s="376" t="s">
        <v>714</v>
      </c>
      <c r="J11" s="175">
        <v>2615259</v>
      </c>
      <c r="K11" s="376" t="s">
        <v>714</v>
      </c>
      <c r="L11" s="176">
        <v>309806</v>
      </c>
      <c r="M11" s="176">
        <v>1163901</v>
      </c>
      <c r="N11" s="376" t="s">
        <v>724</v>
      </c>
      <c r="O11" s="376" t="s">
        <v>724</v>
      </c>
      <c r="P11" s="176">
        <v>2094207</v>
      </c>
      <c r="Q11" s="176">
        <v>440641</v>
      </c>
      <c r="R11" s="177">
        <v>9788901</v>
      </c>
    </row>
    <row r="12" spans="1:18" s="22" customFormat="1" ht="12.75" customHeight="1">
      <c r="A12" s="385"/>
      <c r="B12" s="174"/>
      <c r="C12" s="175"/>
      <c r="D12" s="175"/>
      <c r="E12" s="175"/>
      <c r="F12" s="175"/>
      <c r="G12" s="176"/>
      <c r="H12" s="175"/>
      <c r="I12" s="175"/>
      <c r="J12" s="175"/>
      <c r="K12" s="175"/>
      <c r="L12" s="176"/>
      <c r="M12" s="175"/>
      <c r="N12" s="175"/>
      <c r="O12" s="175"/>
      <c r="P12" s="176"/>
      <c r="Q12" s="176"/>
      <c r="R12" s="177"/>
    </row>
    <row r="13" spans="1:18" s="22" customFormat="1" ht="18.75" customHeight="1">
      <c r="A13" s="379" t="s">
        <v>18</v>
      </c>
      <c r="B13" s="174">
        <f>C13+P13+Q13</f>
        <v>30805343</v>
      </c>
      <c r="C13" s="175">
        <f>SUM(D13:O13)</f>
        <v>29333442</v>
      </c>
      <c r="D13" s="175">
        <v>2739993</v>
      </c>
      <c r="E13" s="175">
        <v>13614009</v>
      </c>
      <c r="F13" s="175">
        <v>1989415</v>
      </c>
      <c r="G13" s="176">
        <v>5687291</v>
      </c>
      <c r="H13" s="175">
        <v>497532</v>
      </c>
      <c r="I13" s="376" t="s">
        <v>714</v>
      </c>
      <c r="J13" s="175">
        <v>3365935</v>
      </c>
      <c r="K13" s="376" t="s">
        <v>714</v>
      </c>
      <c r="L13" s="176">
        <v>371517</v>
      </c>
      <c r="M13" s="175">
        <v>1067750</v>
      </c>
      <c r="N13" s="376" t="s">
        <v>714</v>
      </c>
      <c r="O13" s="376" t="s">
        <v>714</v>
      </c>
      <c r="P13" s="176">
        <v>2277091</v>
      </c>
      <c r="Q13" s="176">
        <v>-805190</v>
      </c>
      <c r="R13" s="177">
        <v>8618859</v>
      </c>
    </row>
    <row r="14" spans="1:18" s="22" customFormat="1" ht="18.75" customHeight="1">
      <c r="A14" s="381" t="s">
        <v>19</v>
      </c>
      <c r="B14" s="174">
        <f>C14+P14+Q14</f>
        <v>31857471</v>
      </c>
      <c r="C14" s="175">
        <f>SUM(D14:O14)</f>
        <v>29809545</v>
      </c>
      <c r="D14" s="175">
        <v>2918730</v>
      </c>
      <c r="E14" s="175">
        <v>14214574</v>
      </c>
      <c r="F14" s="175">
        <v>2551954</v>
      </c>
      <c r="G14" s="176">
        <v>4894387</v>
      </c>
      <c r="H14" s="175">
        <v>641594</v>
      </c>
      <c r="I14" s="376" t="s">
        <v>714</v>
      </c>
      <c r="J14" s="175">
        <v>3058560</v>
      </c>
      <c r="K14" s="376" t="s">
        <v>714</v>
      </c>
      <c r="L14" s="176">
        <v>391228</v>
      </c>
      <c r="M14" s="175">
        <v>1138117</v>
      </c>
      <c r="N14" s="376" t="s">
        <v>714</v>
      </c>
      <c r="O14" s="175">
        <v>401</v>
      </c>
      <c r="P14" s="176">
        <v>2285722</v>
      </c>
      <c r="Q14" s="176">
        <v>-237796</v>
      </c>
      <c r="R14" s="177">
        <v>8140532</v>
      </c>
    </row>
    <row r="15" spans="1:18" s="22" customFormat="1" ht="18.75" customHeight="1">
      <c r="A15" s="381" t="s">
        <v>20</v>
      </c>
      <c r="B15" s="174">
        <f>C15+P15+Q15</f>
        <v>46257162</v>
      </c>
      <c r="C15" s="175">
        <f>SUM(D15:O15)</f>
        <v>42667829</v>
      </c>
      <c r="D15" s="175">
        <f>4563540+548514</f>
        <v>5112054</v>
      </c>
      <c r="E15" s="175">
        <f>19794283+1508465</f>
        <v>21302748</v>
      </c>
      <c r="F15" s="175">
        <f>684966+1868377</f>
        <v>2553343</v>
      </c>
      <c r="G15" s="176">
        <f>4000982+279523</f>
        <v>4280505</v>
      </c>
      <c r="H15" s="175">
        <f>313513+659111</f>
        <v>972624</v>
      </c>
      <c r="I15" s="175">
        <v>3577178</v>
      </c>
      <c r="J15" s="175">
        <f>4544407+285565</f>
        <v>4829972</v>
      </c>
      <c r="K15" s="376" t="s">
        <v>714</v>
      </c>
      <c r="L15" s="176">
        <v>39405</v>
      </c>
      <c r="M15" s="376" t="s">
        <v>714</v>
      </c>
      <c r="N15" s="376" t="s">
        <v>714</v>
      </c>
      <c r="O15" s="376" t="s">
        <v>714</v>
      </c>
      <c r="P15" s="176">
        <f>191152+2513230</f>
        <v>2704382</v>
      </c>
      <c r="Q15" s="176">
        <f>389951+495000</f>
        <v>884951</v>
      </c>
      <c r="R15" s="177">
        <v>-600504</v>
      </c>
    </row>
    <row r="16" spans="1:18" s="22" customFormat="1" ht="12.75" customHeight="1">
      <c r="A16" s="386"/>
      <c r="B16" s="174"/>
      <c r="C16" s="175"/>
      <c r="D16" s="175"/>
      <c r="E16" s="175"/>
      <c r="F16" s="175"/>
      <c r="G16" s="176"/>
      <c r="H16" s="175"/>
      <c r="I16" s="175"/>
      <c r="J16" s="175"/>
      <c r="K16" s="175"/>
      <c r="L16" s="176"/>
      <c r="M16" s="175"/>
      <c r="N16" s="175"/>
      <c r="O16" s="175"/>
      <c r="P16" s="176"/>
      <c r="Q16" s="176"/>
      <c r="R16" s="177"/>
    </row>
    <row r="17" spans="1:18" s="22" customFormat="1" ht="18.75" customHeight="1">
      <c r="A17" s="381" t="s">
        <v>21</v>
      </c>
      <c r="B17" s="174">
        <f>C17+P17+Q17</f>
        <v>33165750</v>
      </c>
      <c r="C17" s="175">
        <f>SUM(D17:O17)</f>
        <v>29863104</v>
      </c>
      <c r="D17" s="175">
        <f>3291264+261965</f>
        <v>3553229</v>
      </c>
      <c r="E17" s="175">
        <f>13518218+615463</f>
        <v>14133681</v>
      </c>
      <c r="F17" s="175">
        <f>352638+1203901</f>
        <v>1556539</v>
      </c>
      <c r="G17" s="176">
        <f>3410716+267016</f>
        <v>3677732</v>
      </c>
      <c r="H17" s="175">
        <f>176369+125564</f>
        <v>301933</v>
      </c>
      <c r="I17" s="175">
        <f>2570199</f>
        <v>2570199</v>
      </c>
      <c r="J17" s="175">
        <f>3717320+111410</f>
        <v>3828730</v>
      </c>
      <c r="K17" s="376" t="s">
        <v>714</v>
      </c>
      <c r="L17" s="176">
        <f>238415</f>
        <v>238415</v>
      </c>
      <c r="M17" s="376" t="s">
        <v>714</v>
      </c>
      <c r="N17" s="376" t="s">
        <v>714</v>
      </c>
      <c r="O17" s="175">
        <f>2646</f>
        <v>2646</v>
      </c>
      <c r="P17" s="176">
        <f>101274+1760301</f>
        <v>1861575</v>
      </c>
      <c r="Q17" s="176">
        <f>966071+475000</f>
        <v>1441071</v>
      </c>
      <c r="R17" s="378" t="s">
        <v>714</v>
      </c>
    </row>
    <row r="18" spans="1:18" s="22" customFormat="1" ht="18.75" customHeight="1">
      <c r="A18" s="381" t="s">
        <v>22</v>
      </c>
      <c r="B18" s="174">
        <f>C18+P18+Q18</f>
        <v>37353195</v>
      </c>
      <c r="C18" s="175">
        <f>SUM(D18:O18)</f>
        <v>34574713</v>
      </c>
      <c r="D18" s="175">
        <v>3986765</v>
      </c>
      <c r="E18" s="175">
        <v>16978239</v>
      </c>
      <c r="F18" s="175">
        <v>3193172</v>
      </c>
      <c r="G18" s="176">
        <v>3032956</v>
      </c>
      <c r="H18" s="175">
        <v>841854</v>
      </c>
      <c r="I18" s="175">
        <v>2315740</v>
      </c>
      <c r="J18" s="175">
        <v>3837161</v>
      </c>
      <c r="K18" s="376" t="s">
        <v>714</v>
      </c>
      <c r="L18" s="176">
        <v>388345</v>
      </c>
      <c r="M18" s="376" t="s">
        <v>714</v>
      </c>
      <c r="N18" s="376" t="s">
        <v>714</v>
      </c>
      <c r="O18" s="175">
        <v>481</v>
      </c>
      <c r="P18" s="176">
        <v>2190378</v>
      </c>
      <c r="Q18" s="176">
        <v>588104</v>
      </c>
      <c r="R18" s="177">
        <v>1868748</v>
      </c>
    </row>
    <row r="19" spans="1:18" s="22" customFormat="1" ht="18.75" customHeight="1">
      <c r="A19" s="381" t="s">
        <v>23</v>
      </c>
      <c r="B19" s="174">
        <f>C19+P19+Q19</f>
        <v>41802827</v>
      </c>
      <c r="C19" s="175">
        <f>SUM(D19:O19)</f>
        <v>33771742</v>
      </c>
      <c r="D19" s="175">
        <v>3779615</v>
      </c>
      <c r="E19" s="175">
        <v>15986588</v>
      </c>
      <c r="F19" s="175">
        <v>3074486</v>
      </c>
      <c r="G19" s="176">
        <v>2633687</v>
      </c>
      <c r="H19" s="175">
        <v>780915</v>
      </c>
      <c r="I19" s="175">
        <v>2841831</v>
      </c>
      <c r="J19" s="175">
        <v>4020192</v>
      </c>
      <c r="K19" s="376" t="s">
        <v>733</v>
      </c>
      <c r="L19" s="176">
        <v>324236</v>
      </c>
      <c r="M19" s="376" t="s">
        <v>733</v>
      </c>
      <c r="N19" s="376" t="s">
        <v>733</v>
      </c>
      <c r="O19" s="175">
        <v>330192</v>
      </c>
      <c r="P19" s="176">
        <v>3474198</v>
      </c>
      <c r="Q19" s="176">
        <v>4556887</v>
      </c>
      <c r="R19" s="177">
        <v>308204</v>
      </c>
    </row>
    <row r="20" spans="1:18" s="22" customFormat="1" ht="12.75" customHeight="1">
      <c r="A20" s="186"/>
      <c r="B20" s="174"/>
      <c r="C20" s="175"/>
      <c r="D20" s="175"/>
      <c r="E20" s="175"/>
      <c r="F20" s="175"/>
      <c r="G20" s="176"/>
      <c r="H20" s="175"/>
      <c r="I20" s="175"/>
      <c r="J20" s="175"/>
      <c r="K20" s="175"/>
      <c r="L20" s="176"/>
      <c r="M20" s="175"/>
      <c r="N20" s="175"/>
      <c r="O20" s="175"/>
      <c r="P20" s="176"/>
      <c r="Q20" s="176"/>
      <c r="R20" s="177"/>
    </row>
    <row r="21" spans="1:18" s="22" customFormat="1" ht="18.75" customHeight="1">
      <c r="A21" s="381" t="s">
        <v>737</v>
      </c>
      <c r="B21" s="174">
        <f>C21+P21+Q21</f>
        <v>46834892</v>
      </c>
      <c r="C21" s="175">
        <f>SUM(C23:C34)</f>
        <v>37961199</v>
      </c>
      <c r="D21" s="175">
        <f>SUM(D23:D34)</f>
        <v>4082443</v>
      </c>
      <c r="E21" s="175">
        <f aca="true" t="shared" si="0" ref="E21:O21">SUM(E23:E34)</f>
        <v>17619646</v>
      </c>
      <c r="F21" s="175">
        <f t="shared" si="0"/>
        <v>3967396</v>
      </c>
      <c r="G21" s="176">
        <f t="shared" si="0"/>
        <v>3157634</v>
      </c>
      <c r="H21" s="175">
        <f t="shared" si="0"/>
        <v>890684</v>
      </c>
      <c r="I21" s="175">
        <f t="shared" si="0"/>
        <v>3459877</v>
      </c>
      <c r="J21" s="175">
        <f t="shared" si="0"/>
        <v>4132357</v>
      </c>
      <c r="K21" s="376" t="s">
        <v>714</v>
      </c>
      <c r="L21" s="176">
        <f t="shared" si="0"/>
        <v>290550</v>
      </c>
      <c r="M21" s="376" t="s">
        <v>714</v>
      </c>
      <c r="N21" s="376" t="s">
        <v>714</v>
      </c>
      <c r="O21" s="175">
        <f t="shared" si="0"/>
        <v>360612</v>
      </c>
      <c r="P21" s="176">
        <v>3418423</v>
      </c>
      <c r="Q21" s="176">
        <v>5455270</v>
      </c>
      <c r="R21" s="177">
        <v>472179</v>
      </c>
    </row>
    <row r="22" spans="1:18" s="22" customFormat="1" ht="12.75" customHeight="1">
      <c r="A22" s="190"/>
      <c r="B22" s="174"/>
      <c r="C22" s="175"/>
      <c r="D22" s="175"/>
      <c r="E22" s="175"/>
      <c r="F22" s="175"/>
      <c r="G22" s="176"/>
      <c r="H22" s="175"/>
      <c r="I22" s="175"/>
      <c r="J22" s="175"/>
      <c r="K22" s="175"/>
      <c r="L22" s="176"/>
      <c r="M22" s="175"/>
      <c r="N22" s="175"/>
      <c r="O22" s="175"/>
      <c r="P22" s="176"/>
      <c r="Q22" s="176"/>
      <c r="R22" s="177"/>
    </row>
    <row r="23" spans="1:18" s="22" customFormat="1" ht="18.75" customHeight="1">
      <c r="A23" s="382" t="s">
        <v>571</v>
      </c>
      <c r="B23" s="174">
        <f>C23+Q23</f>
        <v>5689463</v>
      </c>
      <c r="C23" s="175">
        <f>SUM(D23:O23)</f>
        <v>5645205</v>
      </c>
      <c r="D23" s="175">
        <f>485743+6014</f>
        <v>491757</v>
      </c>
      <c r="E23" s="175">
        <f>3062333+240165</f>
        <v>3302498</v>
      </c>
      <c r="F23" s="175">
        <f>26375+58280</f>
        <v>84655</v>
      </c>
      <c r="G23" s="176">
        <f>204699+34</f>
        <v>204733</v>
      </c>
      <c r="H23" s="175">
        <f>19707+1745</f>
        <v>21452</v>
      </c>
      <c r="I23" s="175">
        <f>781569</f>
        <v>781569</v>
      </c>
      <c r="J23" s="175">
        <f>709604+25179</f>
        <v>734783</v>
      </c>
      <c r="K23" s="376" t="s">
        <v>733</v>
      </c>
      <c r="L23" s="377" t="s">
        <v>733</v>
      </c>
      <c r="M23" s="376" t="s">
        <v>733</v>
      </c>
      <c r="N23" s="376" t="s">
        <v>733</v>
      </c>
      <c r="O23" s="175">
        <v>23758</v>
      </c>
      <c r="P23" s="377" t="s">
        <v>733</v>
      </c>
      <c r="Q23" s="176">
        <v>44258</v>
      </c>
      <c r="R23" s="177">
        <v>-1990773</v>
      </c>
    </row>
    <row r="24" spans="1:18" s="22" customFormat="1" ht="18.75" customHeight="1">
      <c r="A24" s="382" t="s">
        <v>572</v>
      </c>
      <c r="B24" s="174">
        <f aca="true" t="shared" si="1" ref="B24:B34">C24+P24+Q24</f>
        <v>2436619</v>
      </c>
      <c r="C24" s="175">
        <f aca="true" t="shared" si="2" ref="C24:C34">SUM(D24:O24)</f>
        <v>3921625</v>
      </c>
      <c r="D24" s="175">
        <f>239344+61191</f>
        <v>300535</v>
      </c>
      <c r="E24" s="175">
        <f>1432531+398303</f>
        <v>1830834</v>
      </c>
      <c r="F24" s="175">
        <f>47541+448552</f>
        <v>496093</v>
      </c>
      <c r="G24" s="176">
        <f>563221+3651</f>
        <v>566872</v>
      </c>
      <c r="H24" s="175">
        <f>27250+11396</f>
        <v>38646</v>
      </c>
      <c r="I24" s="175">
        <v>307995</v>
      </c>
      <c r="J24" s="175">
        <f>267800+52825</f>
        <v>320625</v>
      </c>
      <c r="K24" s="376" t="s">
        <v>733</v>
      </c>
      <c r="L24" s="176">
        <v>25608</v>
      </c>
      <c r="M24" s="376" t="s">
        <v>733</v>
      </c>
      <c r="N24" s="376" t="s">
        <v>733</v>
      </c>
      <c r="O24" s="175">
        <v>34417</v>
      </c>
      <c r="P24" s="176">
        <v>175506</v>
      </c>
      <c r="Q24" s="176">
        <f>-5490480+3829968</f>
        <v>-1660512</v>
      </c>
      <c r="R24" s="177">
        <v>-516021</v>
      </c>
    </row>
    <row r="25" spans="1:18" s="22" customFormat="1" ht="18.75" customHeight="1">
      <c r="A25" s="382" t="s">
        <v>573</v>
      </c>
      <c r="B25" s="174">
        <f t="shared" si="1"/>
        <v>4843299</v>
      </c>
      <c r="C25" s="175">
        <f t="shared" si="2"/>
        <v>2411741</v>
      </c>
      <c r="D25" s="175">
        <f>247830+53934</f>
        <v>301764</v>
      </c>
      <c r="E25" s="175">
        <f>1192395+105796</f>
        <v>1298191</v>
      </c>
      <c r="F25" s="175">
        <f>19458+92883</f>
        <v>112341</v>
      </c>
      <c r="G25" s="176">
        <f>183692+23435</f>
        <v>207127</v>
      </c>
      <c r="H25" s="175">
        <f>15477+74854</f>
        <v>90331</v>
      </c>
      <c r="I25" s="175">
        <v>12934</v>
      </c>
      <c r="J25" s="175">
        <f>287715+6989</f>
        <v>294704</v>
      </c>
      <c r="K25" s="376" t="s">
        <v>733</v>
      </c>
      <c r="L25" s="176">
        <v>15662</v>
      </c>
      <c r="M25" s="376" t="s">
        <v>733</v>
      </c>
      <c r="N25" s="376" t="s">
        <v>733</v>
      </c>
      <c r="O25" s="175">
        <v>78687</v>
      </c>
      <c r="P25" s="176">
        <v>431103</v>
      </c>
      <c r="Q25" s="176">
        <f>455+2000000</f>
        <v>2000455</v>
      </c>
      <c r="R25" s="177">
        <v>-515581</v>
      </c>
    </row>
    <row r="26" spans="1:18" s="22" customFormat="1" ht="18.75" customHeight="1">
      <c r="A26" s="382" t="s">
        <v>574</v>
      </c>
      <c r="B26" s="174">
        <f t="shared" si="1"/>
        <v>2912920</v>
      </c>
      <c r="C26" s="175">
        <f t="shared" si="2"/>
        <v>2461004</v>
      </c>
      <c r="D26" s="175">
        <f>241673+9857</f>
        <v>251530</v>
      </c>
      <c r="E26" s="175">
        <f>1136111+78488</f>
        <v>1214599</v>
      </c>
      <c r="F26" s="175">
        <f>52055+232596</f>
        <v>284651</v>
      </c>
      <c r="G26" s="176">
        <f>256047+3163</f>
        <v>259210</v>
      </c>
      <c r="H26" s="175">
        <f>11583+57693</f>
        <v>69276</v>
      </c>
      <c r="I26" s="175">
        <f>5449</f>
        <v>5449</v>
      </c>
      <c r="J26" s="175">
        <f>280376+3031</f>
        <v>283407</v>
      </c>
      <c r="K26" s="376" t="s">
        <v>733</v>
      </c>
      <c r="L26" s="176">
        <v>65598</v>
      </c>
      <c r="M26" s="376" t="s">
        <v>733</v>
      </c>
      <c r="N26" s="376" t="s">
        <v>733</v>
      </c>
      <c r="O26" s="175">
        <v>27284</v>
      </c>
      <c r="P26" s="176">
        <v>442550</v>
      </c>
      <c r="Q26" s="176">
        <v>9366</v>
      </c>
      <c r="R26" s="177">
        <v>1792424</v>
      </c>
    </row>
    <row r="27" spans="1:18" s="22" customFormat="1" ht="18.75" customHeight="1">
      <c r="A27" s="382" t="s">
        <v>575</v>
      </c>
      <c r="B27" s="174">
        <f t="shared" si="1"/>
        <v>2519128</v>
      </c>
      <c r="C27" s="175">
        <f t="shared" si="2"/>
        <v>2212154</v>
      </c>
      <c r="D27" s="175">
        <f>223717+63616</f>
        <v>287333</v>
      </c>
      <c r="E27" s="175">
        <f>1157075+31793</f>
        <v>1188868</v>
      </c>
      <c r="F27" s="175">
        <f>28543+139058</f>
        <v>167601</v>
      </c>
      <c r="G27" s="176">
        <f>174672+1853</f>
        <v>176525</v>
      </c>
      <c r="H27" s="175">
        <f>16535+63208</f>
        <v>79743</v>
      </c>
      <c r="I27" s="175">
        <v>3731</v>
      </c>
      <c r="J27" s="175">
        <f>277050+1867</f>
        <v>278917</v>
      </c>
      <c r="K27" s="376" t="s">
        <v>733</v>
      </c>
      <c r="L27" s="176">
        <v>15924</v>
      </c>
      <c r="M27" s="376" t="s">
        <v>733</v>
      </c>
      <c r="N27" s="376" t="s">
        <v>733</v>
      </c>
      <c r="O27" s="175">
        <v>13512</v>
      </c>
      <c r="P27" s="176">
        <v>296629</v>
      </c>
      <c r="Q27" s="176">
        <v>10345</v>
      </c>
      <c r="R27" s="177">
        <v>-2465607</v>
      </c>
    </row>
    <row r="28" spans="1:18" s="22" customFormat="1" ht="18.75" customHeight="1">
      <c r="A28" s="382" t="s">
        <v>576</v>
      </c>
      <c r="B28" s="174">
        <f t="shared" si="1"/>
        <v>3061938</v>
      </c>
      <c r="C28" s="175">
        <f t="shared" si="2"/>
        <v>2614300</v>
      </c>
      <c r="D28" s="175">
        <f>297177+78735</f>
        <v>375912</v>
      </c>
      <c r="E28" s="175">
        <f>1109765+122755</f>
        <v>1232520</v>
      </c>
      <c r="F28" s="175">
        <f>31716+344006</f>
        <v>375722</v>
      </c>
      <c r="G28" s="176">
        <f>190556+6551</f>
        <v>197107</v>
      </c>
      <c r="H28" s="175">
        <f>10681+84699</f>
        <v>95380</v>
      </c>
      <c r="I28" s="175">
        <f>11331</f>
        <v>11331</v>
      </c>
      <c r="J28" s="175">
        <f>279385+17869</f>
        <v>297254</v>
      </c>
      <c r="K28" s="376" t="s">
        <v>733</v>
      </c>
      <c r="L28" s="176">
        <v>14348</v>
      </c>
      <c r="M28" s="376" t="s">
        <v>733</v>
      </c>
      <c r="N28" s="376" t="s">
        <v>733</v>
      </c>
      <c r="O28" s="175">
        <v>14726</v>
      </c>
      <c r="P28" s="176">
        <v>443774</v>
      </c>
      <c r="Q28" s="176">
        <v>3864</v>
      </c>
      <c r="R28" s="177">
        <v>2618969</v>
      </c>
    </row>
    <row r="29" spans="1:18" s="22" customFormat="1" ht="18.75" customHeight="1">
      <c r="A29" s="382" t="s">
        <v>577</v>
      </c>
      <c r="B29" s="174">
        <f t="shared" si="1"/>
        <v>-2094797</v>
      </c>
      <c r="C29" s="175">
        <f t="shared" si="2"/>
        <v>3285687</v>
      </c>
      <c r="D29" s="175">
        <f>365844+15574</f>
        <v>381418</v>
      </c>
      <c r="E29" s="175">
        <f>1033179+134728</f>
        <v>1167907</v>
      </c>
      <c r="F29" s="175">
        <f>33977+246611</f>
        <v>280588</v>
      </c>
      <c r="G29" s="176">
        <f>350710+23884</f>
        <v>374594</v>
      </c>
      <c r="H29" s="175">
        <f>11059+1197</f>
        <v>12256</v>
      </c>
      <c r="I29" s="175">
        <f>708870</f>
        <v>708870</v>
      </c>
      <c r="J29" s="175">
        <f>296906+24011</f>
        <v>320917</v>
      </c>
      <c r="K29" s="376" t="s">
        <v>733</v>
      </c>
      <c r="L29" s="176">
        <v>26704</v>
      </c>
      <c r="M29" s="376" t="s">
        <v>733</v>
      </c>
      <c r="N29" s="376" t="s">
        <v>733</v>
      </c>
      <c r="O29" s="175">
        <v>12433</v>
      </c>
      <c r="P29" s="176">
        <v>316719</v>
      </c>
      <c r="Q29" s="176">
        <f>132765-5829968</f>
        <v>-5697203</v>
      </c>
      <c r="R29" s="177">
        <v>8450917</v>
      </c>
    </row>
    <row r="30" spans="1:18" s="22" customFormat="1" ht="18.75" customHeight="1">
      <c r="A30" s="382" t="s">
        <v>578</v>
      </c>
      <c r="B30" s="174">
        <f t="shared" si="1"/>
        <v>8841624</v>
      </c>
      <c r="C30" s="175">
        <f t="shared" si="2"/>
        <v>2660716</v>
      </c>
      <c r="D30" s="175">
        <f>235165+13717</f>
        <v>248882</v>
      </c>
      <c r="E30" s="175">
        <f>1112360+68046</f>
        <v>1180406</v>
      </c>
      <c r="F30" s="175">
        <f>35501+289079</f>
        <v>324580</v>
      </c>
      <c r="G30" s="176">
        <f>126371+2912</f>
        <v>129283</v>
      </c>
      <c r="H30" s="175">
        <f>15307+66492</f>
        <v>81799</v>
      </c>
      <c r="I30" s="175">
        <v>389312</v>
      </c>
      <c r="J30" s="175">
        <f>278123+6727</f>
        <v>284850</v>
      </c>
      <c r="K30" s="376" t="s">
        <v>733</v>
      </c>
      <c r="L30" s="176">
        <v>13494</v>
      </c>
      <c r="M30" s="376" t="s">
        <v>733</v>
      </c>
      <c r="N30" s="376" t="s">
        <v>733</v>
      </c>
      <c r="O30" s="175">
        <v>8110</v>
      </c>
      <c r="P30" s="176">
        <v>251107</v>
      </c>
      <c r="Q30" s="176">
        <f>99833+5829968</f>
        <v>5929801</v>
      </c>
      <c r="R30" s="177">
        <v>5020367</v>
      </c>
    </row>
    <row r="31" spans="1:18" s="22" customFormat="1" ht="18.75" customHeight="1">
      <c r="A31" s="382" t="s">
        <v>579</v>
      </c>
      <c r="B31" s="174">
        <f t="shared" si="1"/>
        <v>7046823</v>
      </c>
      <c r="C31" s="175">
        <f t="shared" si="2"/>
        <v>3347780</v>
      </c>
      <c r="D31" s="175">
        <f>418925+27854</f>
        <v>446779</v>
      </c>
      <c r="E31" s="175">
        <f>1845402+242948</f>
        <v>2088350</v>
      </c>
      <c r="F31" s="175">
        <f>24076+146328</f>
        <v>170404</v>
      </c>
      <c r="G31" s="176">
        <f>145212+6810</f>
        <v>152022</v>
      </c>
      <c r="H31" s="175">
        <f>20567+61253</f>
        <v>81820</v>
      </c>
      <c r="I31" s="175">
        <f>9378</f>
        <v>9378</v>
      </c>
      <c r="J31" s="175">
        <f>289543+16618</f>
        <v>306161</v>
      </c>
      <c r="K31" s="376" t="s">
        <v>733</v>
      </c>
      <c r="L31" s="176">
        <v>74537</v>
      </c>
      <c r="M31" s="376" t="s">
        <v>733</v>
      </c>
      <c r="N31" s="376" t="s">
        <v>733</v>
      </c>
      <c r="O31" s="175">
        <v>18329</v>
      </c>
      <c r="P31" s="176">
        <v>404172</v>
      </c>
      <c r="Q31" s="176">
        <f>94871+3200000</f>
        <v>3294871</v>
      </c>
      <c r="R31" s="177">
        <v>5024994</v>
      </c>
    </row>
    <row r="32" spans="1:18" s="22" customFormat="1" ht="18.75" customHeight="1">
      <c r="A32" s="382" t="s">
        <v>580</v>
      </c>
      <c r="B32" s="174">
        <f t="shared" si="1"/>
        <v>2910815</v>
      </c>
      <c r="C32" s="175">
        <f t="shared" si="2"/>
        <v>2589214</v>
      </c>
      <c r="D32" s="175">
        <f>232741+18347</f>
        <v>251088</v>
      </c>
      <c r="E32" s="175">
        <f>1130763+189894</f>
        <v>1320657</v>
      </c>
      <c r="F32" s="175">
        <f>40530+139843</f>
        <v>180373</v>
      </c>
      <c r="G32" s="176">
        <f>355839+17623</f>
        <v>373462</v>
      </c>
      <c r="H32" s="175">
        <f>13779+61780</f>
        <v>75559</v>
      </c>
      <c r="I32" s="175">
        <f>3122</f>
        <v>3122</v>
      </c>
      <c r="J32" s="175">
        <f>302364+14952</f>
        <v>317316</v>
      </c>
      <c r="K32" s="376" t="s">
        <v>733</v>
      </c>
      <c r="L32" s="176">
        <v>2233</v>
      </c>
      <c r="M32" s="376" t="s">
        <v>733</v>
      </c>
      <c r="N32" s="376" t="s">
        <v>733</v>
      </c>
      <c r="O32" s="175">
        <v>65404</v>
      </c>
      <c r="P32" s="176">
        <v>142244</v>
      </c>
      <c r="Q32" s="176">
        <v>179357</v>
      </c>
      <c r="R32" s="177">
        <v>5024940</v>
      </c>
    </row>
    <row r="33" spans="1:18" s="22" customFormat="1" ht="18.75" customHeight="1">
      <c r="A33" s="382" t="s">
        <v>581</v>
      </c>
      <c r="B33" s="174">
        <v>2891310</v>
      </c>
      <c r="C33" s="175">
        <f t="shared" si="2"/>
        <v>2244585</v>
      </c>
      <c r="D33" s="175">
        <f>250633+44963</f>
        <v>295596</v>
      </c>
      <c r="E33" s="175">
        <f>691500+208914</f>
        <v>900414</v>
      </c>
      <c r="F33" s="175">
        <f>52081+320555</f>
        <v>372636</v>
      </c>
      <c r="G33" s="176">
        <f>175517+21050</f>
        <v>196567</v>
      </c>
      <c r="H33" s="175">
        <f>13466+98355</f>
        <v>111821</v>
      </c>
      <c r="I33" s="175">
        <f>2391</f>
        <v>2391</v>
      </c>
      <c r="J33" s="175">
        <f>292464+10778</f>
        <v>303242</v>
      </c>
      <c r="K33" s="376" t="s">
        <v>733</v>
      </c>
      <c r="L33" s="176">
        <v>14669</v>
      </c>
      <c r="M33" s="376" t="s">
        <v>733</v>
      </c>
      <c r="N33" s="376" t="s">
        <v>733</v>
      </c>
      <c r="O33" s="175">
        <f>47249</f>
        <v>47249</v>
      </c>
      <c r="P33" s="177">
        <v>83472</v>
      </c>
      <c r="Q33" s="176">
        <v>563252</v>
      </c>
      <c r="R33" s="191">
        <v>5174526</v>
      </c>
    </row>
    <row r="34" spans="1:18" s="22" customFormat="1" ht="18.75" customHeight="1" thickBot="1">
      <c r="A34" s="383" t="s">
        <v>582</v>
      </c>
      <c r="B34" s="181">
        <f t="shared" si="1"/>
        <v>5775748</v>
      </c>
      <c r="C34" s="182">
        <f t="shared" si="2"/>
        <v>4567188</v>
      </c>
      <c r="D34" s="182">
        <f>339926+109923</f>
        <v>449849</v>
      </c>
      <c r="E34" s="182">
        <f>355027+539375</f>
        <v>894402</v>
      </c>
      <c r="F34" s="182">
        <f>85758+1031994</f>
        <v>1117752</v>
      </c>
      <c r="G34" s="183">
        <f>282412+37720</f>
        <v>320132</v>
      </c>
      <c r="H34" s="182">
        <f>45460+87141</f>
        <v>132601</v>
      </c>
      <c r="I34" s="182">
        <f>1223795</f>
        <v>1223795</v>
      </c>
      <c r="J34" s="182">
        <f>365417+24764</f>
        <v>390181</v>
      </c>
      <c r="K34" s="384" t="s">
        <v>733</v>
      </c>
      <c r="L34" s="183">
        <v>21773</v>
      </c>
      <c r="M34" s="384" t="s">
        <v>733</v>
      </c>
      <c r="N34" s="384" t="s">
        <v>733</v>
      </c>
      <c r="O34" s="182">
        <v>16703</v>
      </c>
      <c r="P34" s="183">
        <v>431145</v>
      </c>
      <c r="Q34" s="183">
        <v>777415</v>
      </c>
      <c r="R34" s="184">
        <v>472179</v>
      </c>
    </row>
    <row r="35" s="22" customFormat="1" ht="12.75"/>
  </sheetData>
  <mergeCells count="10">
    <mergeCell ref="Q6:Q7"/>
    <mergeCell ref="I2:R2"/>
    <mergeCell ref="I3:R3"/>
    <mergeCell ref="B6:B7"/>
    <mergeCell ref="R5:R7"/>
    <mergeCell ref="C6:H6"/>
    <mergeCell ref="A7:A8"/>
    <mergeCell ref="A3:H3"/>
    <mergeCell ref="P6:P7"/>
    <mergeCell ref="A2:H2"/>
  </mergeCells>
  <printOptions/>
  <pageMargins left="1.1811023622047245" right="1.1811023622047245" top="1.5748031496062993" bottom="1.5748031496062993" header="0.5118110236220472" footer="0.9055118110236221"/>
  <pageSetup firstPageNumber="304"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4.xml><?xml version="1.0" encoding="utf-8"?>
<worksheet xmlns="http://schemas.openxmlformats.org/spreadsheetml/2006/main" xmlns:r="http://schemas.openxmlformats.org/officeDocument/2006/relationships">
  <sheetPr>
    <tabColor indexed="29"/>
  </sheetPr>
  <dimension ref="A1:R36"/>
  <sheetViews>
    <sheetView showGridLines="0" zoomScale="115" zoomScaleNormal="115" workbookViewId="0" topLeftCell="A1">
      <selection activeCell="A1" sqref="A1"/>
    </sheetView>
  </sheetViews>
  <sheetFormatPr defaultColWidth="9.00390625" defaultRowHeight="16.5"/>
  <cols>
    <col min="1" max="1" width="11.625" style="14" customWidth="1"/>
    <col min="2" max="4" width="8.625" style="14" customWidth="1"/>
    <col min="5" max="5" width="12.125" style="14" customWidth="1"/>
    <col min="6" max="6" width="8.625" style="14" customWidth="1"/>
    <col min="7" max="7" width="8.125" style="14" customWidth="1"/>
    <col min="8" max="8" width="8.625" style="14" customWidth="1"/>
    <col min="9" max="9" width="6.625" style="14" customWidth="1"/>
    <col min="10" max="10" width="7.125" style="14" customWidth="1"/>
    <col min="11" max="11" width="9.125" style="14" customWidth="1"/>
    <col min="12" max="12" width="7.625" style="14" customWidth="1"/>
    <col min="13" max="13" width="8.125" style="14" customWidth="1"/>
    <col min="14" max="14" width="7.625" style="14" customWidth="1"/>
    <col min="15" max="16" width="6.625" style="14" customWidth="1"/>
    <col min="17" max="18" width="7.625" style="14" customWidth="1"/>
    <col min="19" max="16384" width="9.00390625" style="14" customWidth="1"/>
  </cols>
  <sheetData>
    <row r="1" spans="1:18" s="15" customFormat="1" ht="18" customHeight="1">
      <c r="A1" s="12" t="s">
        <v>675</v>
      </c>
      <c r="B1" s="27"/>
      <c r="C1" s="27"/>
      <c r="D1" s="27"/>
      <c r="E1" s="27"/>
      <c r="P1" s="25"/>
      <c r="R1" s="53" t="s">
        <v>696</v>
      </c>
    </row>
    <row r="2" spans="1:18" s="17" customFormat="1" ht="19.5" customHeight="1">
      <c r="A2" s="442" t="s">
        <v>433</v>
      </c>
      <c r="B2" s="441"/>
      <c r="C2" s="441"/>
      <c r="D2" s="441"/>
      <c r="E2" s="441"/>
      <c r="F2" s="441"/>
      <c r="G2" s="441"/>
      <c r="H2" s="441"/>
      <c r="I2" s="441" t="s">
        <v>0</v>
      </c>
      <c r="J2" s="441"/>
      <c r="K2" s="441"/>
      <c r="L2" s="441"/>
      <c r="M2" s="441"/>
      <c r="N2" s="441"/>
      <c r="O2" s="441"/>
      <c r="P2" s="441"/>
      <c r="Q2" s="441"/>
      <c r="R2" s="441"/>
    </row>
    <row r="3" spans="1:18" s="17" customFormat="1" ht="19.5" customHeight="1">
      <c r="A3" s="441" t="s">
        <v>1</v>
      </c>
      <c r="B3" s="441"/>
      <c r="C3" s="441"/>
      <c r="D3" s="441"/>
      <c r="E3" s="441"/>
      <c r="F3" s="441"/>
      <c r="G3" s="441"/>
      <c r="H3" s="441"/>
      <c r="I3" s="441" t="s">
        <v>2</v>
      </c>
      <c r="J3" s="441"/>
      <c r="K3" s="441"/>
      <c r="L3" s="441"/>
      <c r="M3" s="441"/>
      <c r="N3" s="441"/>
      <c r="O3" s="441"/>
      <c r="P3" s="441"/>
      <c r="Q3" s="441"/>
      <c r="R3" s="441"/>
    </row>
    <row r="4" spans="1:18" s="22" customFormat="1" ht="15" customHeight="1" thickBot="1">
      <c r="A4" s="169"/>
      <c r="B4" s="31"/>
      <c r="C4" s="31"/>
      <c r="D4" s="31"/>
      <c r="E4" s="31"/>
      <c r="F4" s="31"/>
      <c r="G4" s="31"/>
      <c r="H4" s="48" t="s">
        <v>292</v>
      </c>
      <c r="I4" s="36"/>
      <c r="J4" s="36"/>
      <c r="K4" s="36"/>
      <c r="L4" s="36"/>
      <c r="M4" s="36"/>
      <c r="N4" s="36"/>
      <c r="O4" s="92"/>
      <c r="R4" s="44" t="s">
        <v>387</v>
      </c>
    </row>
    <row r="5" spans="1:18" s="22" customFormat="1" ht="19.5" customHeight="1">
      <c r="A5" s="478" t="s">
        <v>394</v>
      </c>
      <c r="B5" s="170"/>
      <c r="C5" s="171"/>
      <c r="D5" s="369" t="s">
        <v>413</v>
      </c>
      <c r="E5" s="171"/>
      <c r="F5" s="171"/>
      <c r="G5" s="369" t="s">
        <v>414</v>
      </c>
      <c r="H5" s="171"/>
      <c r="I5" s="171"/>
      <c r="J5" s="171"/>
      <c r="K5" s="171"/>
      <c r="L5" s="171" t="s">
        <v>415</v>
      </c>
      <c r="M5" s="171"/>
      <c r="N5" s="171"/>
      <c r="O5" s="171"/>
      <c r="P5" s="171"/>
      <c r="Q5" s="171"/>
      <c r="R5" s="171"/>
    </row>
    <row r="6" spans="1:18" s="22" customFormat="1" ht="19.5" customHeight="1">
      <c r="A6" s="479"/>
      <c r="B6" s="474" t="s">
        <v>500</v>
      </c>
      <c r="C6" s="480" t="s">
        <v>416</v>
      </c>
      <c r="D6" s="481"/>
      <c r="E6" s="481"/>
      <c r="F6" s="481"/>
      <c r="G6" s="481"/>
      <c r="H6" s="481"/>
      <c r="I6" s="172"/>
      <c r="J6" s="172"/>
      <c r="K6" s="172" t="s">
        <v>417</v>
      </c>
      <c r="L6" s="172"/>
      <c r="M6" s="172"/>
      <c r="N6" s="172"/>
      <c r="O6" s="189"/>
      <c r="P6" s="192"/>
      <c r="Q6" s="470" t="s">
        <v>418</v>
      </c>
      <c r="R6" s="472" t="s">
        <v>423</v>
      </c>
    </row>
    <row r="7" spans="1:18" s="22" customFormat="1" ht="27.75" customHeight="1">
      <c r="A7" s="476" t="s">
        <v>398</v>
      </c>
      <c r="B7" s="475"/>
      <c r="C7" s="371" t="s">
        <v>419</v>
      </c>
      <c r="D7" s="371" t="s">
        <v>420</v>
      </c>
      <c r="E7" s="372" t="s">
        <v>424</v>
      </c>
      <c r="F7" s="372" t="s">
        <v>425</v>
      </c>
      <c r="G7" s="373" t="s">
        <v>421</v>
      </c>
      <c r="H7" s="370" t="s">
        <v>422</v>
      </c>
      <c r="I7" s="485" t="s">
        <v>426</v>
      </c>
      <c r="J7" s="486"/>
      <c r="K7" s="374" t="s">
        <v>427</v>
      </c>
      <c r="L7" s="374" t="s">
        <v>428</v>
      </c>
      <c r="M7" s="374" t="s">
        <v>429</v>
      </c>
      <c r="N7" s="374" t="s">
        <v>430</v>
      </c>
      <c r="O7" s="373" t="s">
        <v>431</v>
      </c>
      <c r="P7" s="373" t="s">
        <v>432</v>
      </c>
      <c r="Q7" s="471"/>
      <c r="R7" s="473"/>
    </row>
    <row r="8" spans="1:18" s="49" customFormat="1" ht="51.75" customHeight="1" thickBot="1">
      <c r="A8" s="477"/>
      <c r="B8" s="18" t="s">
        <v>526</v>
      </c>
      <c r="C8" s="20" t="s">
        <v>713</v>
      </c>
      <c r="D8" s="20" t="s">
        <v>527</v>
      </c>
      <c r="E8" s="20" t="s">
        <v>528</v>
      </c>
      <c r="F8" s="20" t="s">
        <v>563</v>
      </c>
      <c r="G8" s="19" t="s">
        <v>530</v>
      </c>
      <c r="H8" s="19" t="s">
        <v>564</v>
      </c>
      <c r="I8" s="295" t="s">
        <v>596</v>
      </c>
      <c r="J8" s="388" t="s">
        <v>597</v>
      </c>
      <c r="K8" s="19" t="s">
        <v>533</v>
      </c>
      <c r="L8" s="19" t="s">
        <v>566</v>
      </c>
      <c r="M8" s="19" t="s">
        <v>535</v>
      </c>
      <c r="N8" s="19" t="s">
        <v>595</v>
      </c>
      <c r="O8" s="19" t="s">
        <v>567</v>
      </c>
      <c r="P8" s="19" t="s">
        <v>568</v>
      </c>
      <c r="Q8" s="19" t="s">
        <v>569</v>
      </c>
      <c r="R8" s="21" t="s">
        <v>570</v>
      </c>
    </row>
    <row r="9" spans="1:18" s="22" customFormat="1" ht="18" customHeight="1">
      <c r="A9" s="375" t="s">
        <v>15</v>
      </c>
      <c r="B9" s="174">
        <f>C9+Q9+R9</f>
        <v>14571637</v>
      </c>
      <c r="C9" s="175">
        <f>SUM(D9:P9)</f>
        <v>9442735</v>
      </c>
      <c r="D9" s="175">
        <v>5505171</v>
      </c>
      <c r="E9" s="175">
        <v>24479</v>
      </c>
      <c r="F9" s="175">
        <v>25457</v>
      </c>
      <c r="G9" s="176">
        <v>519453</v>
      </c>
      <c r="H9" s="176">
        <v>2379</v>
      </c>
      <c r="I9" s="179">
        <v>62503</v>
      </c>
      <c r="J9" s="179">
        <v>40220</v>
      </c>
      <c r="K9" s="175">
        <v>6000</v>
      </c>
      <c r="L9" s="176">
        <v>2954949</v>
      </c>
      <c r="M9" s="376" t="s">
        <v>714</v>
      </c>
      <c r="N9" s="376" t="s">
        <v>714</v>
      </c>
      <c r="O9" s="376" t="s">
        <v>714</v>
      </c>
      <c r="P9" s="175">
        <v>302124</v>
      </c>
      <c r="Q9" s="176">
        <v>1722830</v>
      </c>
      <c r="R9" s="177">
        <v>3406072</v>
      </c>
    </row>
    <row r="10" spans="1:18" s="22" customFormat="1" ht="18" customHeight="1">
      <c r="A10" s="375" t="s">
        <v>16</v>
      </c>
      <c r="B10" s="174">
        <f>C10+Q10+R10</f>
        <v>17092274</v>
      </c>
      <c r="C10" s="175">
        <f>SUM(D10:P10)</f>
        <v>9912018</v>
      </c>
      <c r="D10" s="175">
        <v>5890832</v>
      </c>
      <c r="E10" s="175">
        <v>34722</v>
      </c>
      <c r="F10" s="175">
        <v>22902</v>
      </c>
      <c r="G10" s="176">
        <v>631962</v>
      </c>
      <c r="H10" s="176">
        <v>2005</v>
      </c>
      <c r="I10" s="179">
        <v>141457</v>
      </c>
      <c r="J10" s="179">
        <v>1004</v>
      </c>
      <c r="K10" s="175">
        <v>9116</v>
      </c>
      <c r="L10" s="176">
        <v>2897049</v>
      </c>
      <c r="M10" s="175">
        <v>843</v>
      </c>
      <c r="N10" s="376" t="s">
        <v>714</v>
      </c>
      <c r="O10" s="376" t="s">
        <v>714</v>
      </c>
      <c r="P10" s="176">
        <v>280126</v>
      </c>
      <c r="Q10" s="176">
        <v>2189158</v>
      </c>
      <c r="R10" s="177">
        <v>4991098</v>
      </c>
    </row>
    <row r="11" spans="1:18" s="22" customFormat="1" ht="18" customHeight="1">
      <c r="A11" s="379" t="s">
        <v>17</v>
      </c>
      <c r="B11" s="174">
        <f>C11+Q11+R11</f>
        <v>17837529</v>
      </c>
      <c r="C11" s="175">
        <f>SUM(D11:P11)</f>
        <v>10672752</v>
      </c>
      <c r="D11" s="175">
        <v>5669322</v>
      </c>
      <c r="E11" s="175">
        <v>42304</v>
      </c>
      <c r="F11" s="175">
        <v>28461</v>
      </c>
      <c r="G11" s="176">
        <v>757404</v>
      </c>
      <c r="H11" s="176">
        <v>2890</v>
      </c>
      <c r="I11" s="179">
        <v>209229</v>
      </c>
      <c r="J11" s="179">
        <v>22781</v>
      </c>
      <c r="K11" s="175">
        <v>8500</v>
      </c>
      <c r="L11" s="176">
        <v>3575053</v>
      </c>
      <c r="M11" s="176">
        <v>3016</v>
      </c>
      <c r="N11" s="376" t="s">
        <v>724</v>
      </c>
      <c r="O11" s="376" t="s">
        <v>724</v>
      </c>
      <c r="P11" s="176">
        <v>353792</v>
      </c>
      <c r="Q11" s="176">
        <v>2373275</v>
      </c>
      <c r="R11" s="177">
        <v>4791502</v>
      </c>
    </row>
    <row r="12" spans="1:18" s="22" customFormat="1" ht="9" customHeight="1">
      <c r="A12" s="385"/>
      <c r="B12" s="174"/>
      <c r="C12" s="175"/>
      <c r="D12" s="175"/>
      <c r="E12" s="175"/>
      <c r="F12" s="175"/>
      <c r="G12" s="176"/>
      <c r="H12" s="176"/>
      <c r="I12" s="179"/>
      <c r="J12" s="179"/>
      <c r="K12" s="175"/>
      <c r="L12" s="176"/>
      <c r="M12" s="175"/>
      <c r="N12" s="175"/>
      <c r="O12" s="175"/>
      <c r="P12" s="176"/>
      <c r="Q12" s="176"/>
      <c r="R12" s="177"/>
    </row>
    <row r="13" spans="1:18" s="22" customFormat="1" ht="18" customHeight="1">
      <c r="A13" s="379" t="s">
        <v>18</v>
      </c>
      <c r="B13" s="174">
        <f>C13+Q13+R13</f>
        <v>18490495</v>
      </c>
      <c r="C13" s="175">
        <f>SUM(D13:P13)</f>
        <v>10726545</v>
      </c>
      <c r="D13" s="175">
        <v>5711565</v>
      </c>
      <c r="E13" s="175">
        <v>139</v>
      </c>
      <c r="F13" s="175">
        <v>28969</v>
      </c>
      <c r="G13" s="176">
        <v>741600</v>
      </c>
      <c r="H13" s="176">
        <v>20149</v>
      </c>
      <c r="I13" s="179">
        <v>244116</v>
      </c>
      <c r="J13" s="179">
        <v>1830</v>
      </c>
      <c r="K13" s="175">
        <v>10000</v>
      </c>
      <c r="L13" s="176">
        <v>3499015</v>
      </c>
      <c r="M13" s="175">
        <v>1323</v>
      </c>
      <c r="N13" s="376" t="s">
        <v>714</v>
      </c>
      <c r="O13" s="376" t="s">
        <v>714</v>
      </c>
      <c r="P13" s="176">
        <v>467839</v>
      </c>
      <c r="Q13" s="176">
        <v>1729988</v>
      </c>
      <c r="R13" s="177">
        <f>5946596-16775+32173+71968</f>
        <v>6033962</v>
      </c>
    </row>
    <row r="14" spans="1:18" s="22" customFormat="1" ht="18" customHeight="1">
      <c r="A14" s="381" t="s">
        <v>19</v>
      </c>
      <c r="B14" s="174">
        <f>C14+Q14+R14</f>
        <v>21326331</v>
      </c>
      <c r="C14" s="175">
        <f>SUM(D14:P14)</f>
        <v>12698658</v>
      </c>
      <c r="D14" s="175">
        <f>6107724</f>
        <v>6107724</v>
      </c>
      <c r="E14" s="175">
        <v>581</v>
      </c>
      <c r="F14" s="175">
        <v>25641</v>
      </c>
      <c r="G14" s="176">
        <v>776667</v>
      </c>
      <c r="H14" s="176">
        <v>6160</v>
      </c>
      <c r="I14" s="175">
        <v>287520</v>
      </c>
      <c r="J14" s="175">
        <v>2448</v>
      </c>
      <c r="K14" s="175">
        <v>8177</v>
      </c>
      <c r="L14" s="176">
        <v>4894402</v>
      </c>
      <c r="M14" s="175">
        <v>2722</v>
      </c>
      <c r="N14" s="376" t="s">
        <v>714</v>
      </c>
      <c r="O14" s="376" t="s">
        <v>714</v>
      </c>
      <c r="P14" s="176">
        <v>586616</v>
      </c>
      <c r="Q14" s="176">
        <v>1939188</v>
      </c>
      <c r="R14" s="177">
        <f>6606025+82460</f>
        <v>6688485</v>
      </c>
    </row>
    <row r="15" spans="1:18" s="22" customFormat="1" ht="18" customHeight="1">
      <c r="A15" s="381" t="s">
        <v>20</v>
      </c>
      <c r="B15" s="174">
        <f>C15+Q15+R15</f>
        <v>27998349</v>
      </c>
      <c r="C15" s="175">
        <f>SUM(D15:P15)</f>
        <v>17616093</v>
      </c>
      <c r="D15" s="175">
        <v>9910809</v>
      </c>
      <c r="E15" s="175">
        <v>6725</v>
      </c>
      <c r="F15" s="175">
        <v>43596</v>
      </c>
      <c r="G15" s="176">
        <v>1163677</v>
      </c>
      <c r="H15" s="176">
        <v>14727</v>
      </c>
      <c r="I15" s="175">
        <v>418469</v>
      </c>
      <c r="J15" s="175">
        <v>1379</v>
      </c>
      <c r="K15" s="175">
        <v>20725</v>
      </c>
      <c r="L15" s="176">
        <v>5289611</v>
      </c>
      <c r="M15" s="175">
        <v>44582</v>
      </c>
      <c r="N15" s="376" t="s">
        <v>714</v>
      </c>
      <c r="O15" s="376" t="s">
        <v>714</v>
      </c>
      <c r="P15" s="176">
        <v>701793</v>
      </c>
      <c r="Q15" s="176">
        <v>1439297</v>
      </c>
      <c r="R15" s="177">
        <f>8449437+802+188728+220203+83789</f>
        <v>8942959</v>
      </c>
    </row>
    <row r="16" spans="1:18" s="22" customFormat="1" ht="9" customHeight="1">
      <c r="A16" s="386"/>
      <c r="B16" s="174"/>
      <c r="C16" s="175"/>
      <c r="D16" s="175"/>
      <c r="E16" s="175"/>
      <c r="F16" s="175"/>
      <c r="G16" s="176"/>
      <c r="H16" s="176"/>
      <c r="I16" s="175"/>
      <c r="J16" s="175"/>
      <c r="K16" s="175"/>
      <c r="L16" s="176"/>
      <c r="M16" s="175"/>
      <c r="N16" s="175"/>
      <c r="O16" s="175"/>
      <c r="P16" s="176"/>
      <c r="Q16" s="176"/>
      <c r="R16" s="177"/>
    </row>
    <row r="17" spans="1:18" s="22" customFormat="1" ht="18" customHeight="1">
      <c r="A17" s="381" t="s">
        <v>21</v>
      </c>
      <c r="B17" s="174">
        <f>C17+Q17+R17</f>
        <v>23625954</v>
      </c>
      <c r="C17" s="175">
        <f>SUM(D17:P17)</f>
        <v>12061870</v>
      </c>
      <c r="D17" s="175">
        <v>7260244</v>
      </c>
      <c r="E17" s="175">
        <v>3628</v>
      </c>
      <c r="F17" s="175">
        <v>17999</v>
      </c>
      <c r="G17" s="176">
        <v>679690</v>
      </c>
      <c r="H17" s="176">
        <v>18662</v>
      </c>
      <c r="I17" s="175">
        <v>314385</v>
      </c>
      <c r="J17" s="175">
        <v>2255</v>
      </c>
      <c r="K17" s="175">
        <v>66445</v>
      </c>
      <c r="L17" s="176">
        <v>2842739</v>
      </c>
      <c r="M17" s="175">
        <v>80735</v>
      </c>
      <c r="N17" s="376" t="s">
        <v>714</v>
      </c>
      <c r="O17" s="376" t="s">
        <v>714</v>
      </c>
      <c r="P17" s="176">
        <v>775088</v>
      </c>
      <c r="Q17" s="176">
        <v>2041058</v>
      </c>
      <c r="R17" s="177">
        <f>9423461+14000+85565</f>
        <v>9523026</v>
      </c>
    </row>
    <row r="18" spans="1:18" s="22" customFormat="1" ht="18" customHeight="1">
      <c r="A18" s="381" t="s">
        <v>22</v>
      </c>
      <c r="B18" s="174">
        <f>C18+Q18+R18</f>
        <v>22447952</v>
      </c>
      <c r="C18" s="175">
        <f>SUM(D18:P18)</f>
        <v>12041163</v>
      </c>
      <c r="D18" s="175">
        <v>7219246</v>
      </c>
      <c r="E18" s="175">
        <v>3607</v>
      </c>
      <c r="F18" s="175">
        <v>21640</v>
      </c>
      <c r="G18" s="176">
        <v>543144</v>
      </c>
      <c r="H18" s="176">
        <v>22172</v>
      </c>
      <c r="I18" s="175">
        <v>194462</v>
      </c>
      <c r="J18" s="175">
        <v>42020</v>
      </c>
      <c r="K18" s="175">
        <v>15129</v>
      </c>
      <c r="L18" s="176">
        <v>3270616</v>
      </c>
      <c r="M18" s="175">
        <v>90934</v>
      </c>
      <c r="N18" s="376" t="s">
        <v>714</v>
      </c>
      <c r="O18" s="376" t="s">
        <v>714</v>
      </c>
      <c r="P18" s="176">
        <v>618193</v>
      </c>
      <c r="Q18" s="176">
        <v>1454910</v>
      </c>
      <c r="R18" s="177">
        <v>8951879</v>
      </c>
    </row>
    <row r="19" spans="1:18" s="22" customFormat="1" ht="18" customHeight="1">
      <c r="A19" s="381" t="s">
        <v>23</v>
      </c>
      <c r="B19" s="174">
        <f>C19+Q19+R19</f>
        <v>19426686</v>
      </c>
      <c r="C19" s="175">
        <f>SUM(D19:P19)</f>
        <v>11667216</v>
      </c>
      <c r="D19" s="175">
        <v>7370485</v>
      </c>
      <c r="E19" s="175">
        <v>6947</v>
      </c>
      <c r="F19" s="175">
        <v>19662</v>
      </c>
      <c r="G19" s="176">
        <v>531869</v>
      </c>
      <c r="H19" s="176">
        <v>14796</v>
      </c>
      <c r="I19" s="175">
        <v>127790</v>
      </c>
      <c r="J19" s="175">
        <v>14332</v>
      </c>
      <c r="K19" s="175">
        <v>6000</v>
      </c>
      <c r="L19" s="176">
        <v>2546250</v>
      </c>
      <c r="M19" s="175">
        <v>252216</v>
      </c>
      <c r="N19" s="376" t="s">
        <v>733</v>
      </c>
      <c r="O19" s="175">
        <v>191377</v>
      </c>
      <c r="P19" s="176">
        <v>585492</v>
      </c>
      <c r="Q19" s="176">
        <v>976971</v>
      </c>
      <c r="R19" s="177">
        <v>6782499</v>
      </c>
    </row>
    <row r="20" spans="1:18" s="22" customFormat="1" ht="9" customHeight="1">
      <c r="A20" s="186"/>
      <c r="B20" s="174"/>
      <c r="C20" s="175"/>
      <c r="D20" s="175"/>
      <c r="E20" s="175"/>
      <c r="F20" s="175"/>
      <c r="G20" s="176"/>
      <c r="H20" s="176"/>
      <c r="I20" s="175"/>
      <c r="J20" s="175"/>
      <c r="K20" s="175"/>
      <c r="L20" s="176"/>
      <c r="M20" s="175"/>
      <c r="N20" s="175"/>
      <c r="O20" s="175"/>
      <c r="P20" s="176"/>
      <c r="Q20" s="176"/>
      <c r="R20" s="177"/>
    </row>
    <row r="21" spans="1:18" s="22" customFormat="1" ht="18" customHeight="1">
      <c r="A21" s="381" t="s">
        <v>24</v>
      </c>
      <c r="B21" s="174">
        <f>C21+Q21+R21</f>
        <v>21455638</v>
      </c>
      <c r="C21" s="175">
        <f>SUM(D21:P21)</f>
        <v>12987057</v>
      </c>
      <c r="D21" s="175">
        <f aca="true" t="shared" si="0" ref="D21:R21">SUM(D23:D34)</f>
        <v>8207976</v>
      </c>
      <c r="E21" s="175">
        <f t="shared" si="0"/>
        <v>5602</v>
      </c>
      <c r="F21" s="175">
        <f t="shared" si="0"/>
        <v>24005</v>
      </c>
      <c r="G21" s="175">
        <f t="shared" si="0"/>
        <v>547283</v>
      </c>
      <c r="H21" s="176">
        <f t="shared" si="0"/>
        <v>5993</v>
      </c>
      <c r="I21" s="175">
        <f t="shared" si="0"/>
        <v>127371</v>
      </c>
      <c r="J21" s="175">
        <f t="shared" si="0"/>
        <v>62169</v>
      </c>
      <c r="K21" s="175">
        <f t="shared" si="0"/>
        <v>43677</v>
      </c>
      <c r="L21" s="175">
        <f t="shared" si="0"/>
        <v>3242799</v>
      </c>
      <c r="M21" s="175">
        <f t="shared" si="0"/>
        <v>157583</v>
      </c>
      <c r="N21" s="376" t="s">
        <v>714</v>
      </c>
      <c r="O21" s="175">
        <f t="shared" si="0"/>
        <v>90000</v>
      </c>
      <c r="P21" s="175">
        <f t="shared" si="0"/>
        <v>472599</v>
      </c>
      <c r="Q21" s="191">
        <f t="shared" si="0"/>
        <v>1411549</v>
      </c>
      <c r="R21" s="177">
        <f t="shared" si="0"/>
        <v>7057032</v>
      </c>
    </row>
    <row r="22" spans="1:18" s="22" customFormat="1" ht="9" customHeight="1">
      <c r="A22" s="190"/>
      <c r="B22" s="174"/>
      <c r="C22" s="175"/>
      <c r="D22" s="175"/>
      <c r="E22" s="175"/>
      <c r="F22" s="175"/>
      <c r="G22" s="176"/>
      <c r="H22" s="176"/>
      <c r="I22" s="175"/>
      <c r="J22" s="175"/>
      <c r="K22" s="175"/>
      <c r="L22" s="176"/>
      <c r="M22" s="175"/>
      <c r="N22" s="175"/>
      <c r="O22" s="175"/>
      <c r="P22" s="176"/>
      <c r="Q22" s="176"/>
      <c r="R22" s="177"/>
    </row>
    <row r="23" spans="1:18" s="22" customFormat="1" ht="18" customHeight="1">
      <c r="A23" s="382" t="s">
        <v>571</v>
      </c>
      <c r="B23" s="174">
        <f>C23+Q23+R23</f>
        <v>7082678</v>
      </c>
      <c r="C23" s="175">
        <f>SUM(D23:P23)</f>
        <v>835203</v>
      </c>
      <c r="D23" s="175">
        <v>544600</v>
      </c>
      <c r="E23" s="175">
        <v>129</v>
      </c>
      <c r="F23" s="175">
        <v>667</v>
      </c>
      <c r="G23" s="176">
        <v>26657</v>
      </c>
      <c r="H23" s="389" t="s">
        <v>714</v>
      </c>
      <c r="I23" s="175">
        <v>5918</v>
      </c>
      <c r="J23" s="175">
        <v>7000</v>
      </c>
      <c r="K23" s="389" t="s">
        <v>714</v>
      </c>
      <c r="L23" s="176">
        <v>154974</v>
      </c>
      <c r="M23" s="175">
        <v>100</v>
      </c>
      <c r="N23" s="389" t="s">
        <v>714</v>
      </c>
      <c r="O23" s="389" t="s">
        <v>714</v>
      </c>
      <c r="P23" s="176">
        <v>95158</v>
      </c>
      <c r="Q23" s="176">
        <v>79306</v>
      </c>
      <c r="R23" s="177">
        <f>6166605+970+594</f>
        <v>6168169</v>
      </c>
    </row>
    <row r="24" spans="1:18" s="22" customFormat="1" ht="18" customHeight="1">
      <c r="A24" s="382" t="s">
        <v>572</v>
      </c>
      <c r="B24" s="174">
        <f aca="true" t="shared" si="1" ref="B24:B34">C24+Q24+R24</f>
        <v>646993</v>
      </c>
      <c r="C24" s="175">
        <f aca="true" t="shared" si="2" ref="C24:C34">SUM(D24:P24)</f>
        <v>590090</v>
      </c>
      <c r="D24" s="175">
        <v>279105</v>
      </c>
      <c r="E24" s="175">
        <v>171</v>
      </c>
      <c r="F24" s="175">
        <v>865</v>
      </c>
      <c r="G24" s="176">
        <v>33308</v>
      </c>
      <c r="H24" s="389" t="s">
        <v>714</v>
      </c>
      <c r="I24" s="175">
        <v>7598</v>
      </c>
      <c r="J24" s="175">
        <v>1</v>
      </c>
      <c r="K24" s="389" t="s">
        <v>714</v>
      </c>
      <c r="L24" s="176">
        <v>230260</v>
      </c>
      <c r="M24" s="389" t="s">
        <v>714</v>
      </c>
      <c r="N24" s="389" t="s">
        <v>714</v>
      </c>
      <c r="O24" s="389" t="s">
        <v>714</v>
      </c>
      <c r="P24" s="176">
        <v>38782</v>
      </c>
      <c r="Q24" s="176">
        <v>70468</v>
      </c>
      <c r="R24" s="177">
        <f>-16639+3074</f>
        <v>-13565</v>
      </c>
    </row>
    <row r="25" spans="1:18" s="22" customFormat="1" ht="18" customHeight="1">
      <c r="A25" s="382" t="s">
        <v>573</v>
      </c>
      <c r="B25" s="174">
        <f t="shared" si="1"/>
        <v>863873</v>
      </c>
      <c r="C25" s="175">
        <f t="shared" si="2"/>
        <v>528494</v>
      </c>
      <c r="D25" s="175">
        <v>269779</v>
      </c>
      <c r="E25" s="175">
        <v>350</v>
      </c>
      <c r="F25" s="175">
        <v>1725</v>
      </c>
      <c r="G25" s="176">
        <v>58554</v>
      </c>
      <c r="H25" s="389" t="s">
        <v>714</v>
      </c>
      <c r="I25" s="175">
        <v>11708</v>
      </c>
      <c r="J25" s="175">
        <v>10894</v>
      </c>
      <c r="K25" s="389" t="s">
        <v>714</v>
      </c>
      <c r="L25" s="176">
        <v>143367</v>
      </c>
      <c r="M25" s="175">
        <v>1771</v>
      </c>
      <c r="N25" s="389" t="s">
        <v>714</v>
      </c>
      <c r="O25" s="389" t="s">
        <v>714</v>
      </c>
      <c r="P25" s="176">
        <v>30346</v>
      </c>
      <c r="Q25" s="176">
        <v>335126</v>
      </c>
      <c r="R25" s="177">
        <f>60+193</f>
        <v>253</v>
      </c>
    </row>
    <row r="26" spans="1:18" s="22" customFormat="1" ht="18" customHeight="1">
      <c r="A26" s="382" t="s">
        <v>574</v>
      </c>
      <c r="B26" s="174">
        <f t="shared" si="1"/>
        <v>1099902</v>
      </c>
      <c r="C26" s="175">
        <f t="shared" si="2"/>
        <v>849973</v>
      </c>
      <c r="D26" s="175">
        <v>672942</v>
      </c>
      <c r="E26" s="175">
        <v>1208</v>
      </c>
      <c r="F26" s="175">
        <v>1257</v>
      </c>
      <c r="G26" s="176">
        <v>41961</v>
      </c>
      <c r="H26" s="389" t="s">
        <v>714</v>
      </c>
      <c r="I26" s="175">
        <v>5915</v>
      </c>
      <c r="J26" s="175">
        <v>-9340</v>
      </c>
      <c r="K26" s="389" t="s">
        <v>714</v>
      </c>
      <c r="L26" s="176">
        <v>113054</v>
      </c>
      <c r="M26" s="175">
        <v>885</v>
      </c>
      <c r="N26" s="389" t="s">
        <v>714</v>
      </c>
      <c r="O26" s="389" t="s">
        <v>714</v>
      </c>
      <c r="P26" s="176">
        <v>22091</v>
      </c>
      <c r="Q26" s="176">
        <v>240954</v>
      </c>
      <c r="R26" s="177">
        <f>2824+6119+32</f>
        <v>8975</v>
      </c>
    </row>
    <row r="27" spans="1:18" s="22" customFormat="1" ht="18" customHeight="1">
      <c r="A27" s="382" t="s">
        <v>575</v>
      </c>
      <c r="B27" s="174">
        <f t="shared" si="1"/>
        <v>1215145</v>
      </c>
      <c r="C27" s="175">
        <f t="shared" si="2"/>
        <v>1010890</v>
      </c>
      <c r="D27" s="175">
        <v>707340</v>
      </c>
      <c r="E27" s="175">
        <v>2495</v>
      </c>
      <c r="F27" s="175">
        <v>1730</v>
      </c>
      <c r="G27" s="176">
        <v>40139</v>
      </c>
      <c r="H27" s="176">
        <v>1222</v>
      </c>
      <c r="I27" s="175">
        <v>18760</v>
      </c>
      <c r="J27" s="175">
        <f>24+797</f>
        <v>821</v>
      </c>
      <c r="K27" s="175">
        <v>15000</v>
      </c>
      <c r="L27" s="176">
        <v>171040</v>
      </c>
      <c r="M27" s="175">
        <v>20130</v>
      </c>
      <c r="N27" s="389" t="s">
        <v>714</v>
      </c>
      <c r="O27" s="389" t="s">
        <v>714</v>
      </c>
      <c r="P27" s="176">
        <v>32213</v>
      </c>
      <c r="Q27" s="176">
        <v>192356</v>
      </c>
      <c r="R27" s="177">
        <f>11856+43</f>
        <v>11899</v>
      </c>
    </row>
    <row r="28" spans="1:18" s="22" customFormat="1" ht="18" customHeight="1">
      <c r="A28" s="382" t="s">
        <v>576</v>
      </c>
      <c r="B28" s="174">
        <f t="shared" si="1"/>
        <v>2573029</v>
      </c>
      <c r="C28" s="175">
        <f t="shared" si="2"/>
        <v>1971358</v>
      </c>
      <c r="D28" s="175">
        <v>1739860</v>
      </c>
      <c r="E28" s="175">
        <v>249</v>
      </c>
      <c r="F28" s="175">
        <v>2562</v>
      </c>
      <c r="G28" s="176">
        <v>40519</v>
      </c>
      <c r="H28" s="176">
        <v>1844</v>
      </c>
      <c r="I28" s="175">
        <v>14066</v>
      </c>
      <c r="J28" s="175">
        <f>3+19685</f>
        <v>19688</v>
      </c>
      <c r="K28" s="389" t="s">
        <v>714</v>
      </c>
      <c r="L28" s="176">
        <v>93205</v>
      </c>
      <c r="M28" s="175">
        <v>202</v>
      </c>
      <c r="N28" s="389" t="s">
        <v>714</v>
      </c>
      <c r="O28" s="175">
        <v>30000</v>
      </c>
      <c r="P28" s="176">
        <v>29163</v>
      </c>
      <c r="Q28" s="176">
        <v>157072</v>
      </c>
      <c r="R28" s="177">
        <f>406540+37599+460</f>
        <v>444599</v>
      </c>
    </row>
    <row r="29" spans="1:18" s="22" customFormat="1" ht="18" customHeight="1">
      <c r="A29" s="382" t="s">
        <v>577</v>
      </c>
      <c r="B29" s="174">
        <f t="shared" si="1"/>
        <v>1674901</v>
      </c>
      <c r="C29" s="175">
        <f t="shared" si="2"/>
        <v>1205320</v>
      </c>
      <c r="D29" s="175">
        <v>656697</v>
      </c>
      <c r="E29" s="175">
        <v>148</v>
      </c>
      <c r="F29" s="175">
        <v>1345</v>
      </c>
      <c r="G29" s="176">
        <v>54163</v>
      </c>
      <c r="H29" s="176">
        <v>181</v>
      </c>
      <c r="I29" s="175">
        <v>18091</v>
      </c>
      <c r="J29" s="175">
        <f>4+9193</f>
        <v>9197</v>
      </c>
      <c r="K29" s="389" t="s">
        <v>714</v>
      </c>
      <c r="L29" s="176">
        <v>378973</v>
      </c>
      <c r="M29" s="175">
        <v>500</v>
      </c>
      <c r="N29" s="389" t="s">
        <v>714</v>
      </c>
      <c r="O29" s="389" t="s">
        <v>714</v>
      </c>
      <c r="P29" s="176">
        <v>86025</v>
      </c>
      <c r="Q29" s="176">
        <v>95980</v>
      </c>
      <c r="R29" s="177">
        <f>420000-47414+1015</f>
        <v>373601</v>
      </c>
    </row>
    <row r="30" spans="1:18" s="22" customFormat="1" ht="18" customHeight="1">
      <c r="A30" s="382" t="s">
        <v>578</v>
      </c>
      <c r="B30" s="174">
        <f t="shared" si="1"/>
        <v>1024585</v>
      </c>
      <c r="C30" s="175">
        <f t="shared" si="2"/>
        <v>952264</v>
      </c>
      <c r="D30" s="175">
        <v>399572</v>
      </c>
      <c r="E30" s="175">
        <v>251</v>
      </c>
      <c r="F30" s="175">
        <v>1531</v>
      </c>
      <c r="G30" s="176">
        <v>52139</v>
      </c>
      <c r="H30" s="389" t="s">
        <v>714</v>
      </c>
      <c r="I30" s="175">
        <v>7471</v>
      </c>
      <c r="J30" s="175">
        <v>3239</v>
      </c>
      <c r="K30" s="389" t="s">
        <v>714</v>
      </c>
      <c r="L30" s="176">
        <v>284373</v>
      </c>
      <c r="M30" s="175">
        <v>108455</v>
      </c>
      <c r="N30" s="389" t="s">
        <v>714</v>
      </c>
      <c r="O30" s="175">
        <v>50000</v>
      </c>
      <c r="P30" s="176">
        <v>45233</v>
      </c>
      <c r="Q30" s="176">
        <v>64751</v>
      </c>
      <c r="R30" s="177">
        <f>7124+446</f>
        <v>7570</v>
      </c>
    </row>
    <row r="31" spans="1:18" s="22" customFormat="1" ht="18" customHeight="1">
      <c r="A31" s="382" t="s">
        <v>579</v>
      </c>
      <c r="B31" s="174">
        <f t="shared" si="1"/>
        <v>809699</v>
      </c>
      <c r="C31" s="175">
        <f t="shared" si="2"/>
        <v>668967</v>
      </c>
      <c r="D31" s="175">
        <v>322742</v>
      </c>
      <c r="E31" s="175">
        <v>41</v>
      </c>
      <c r="F31" s="175">
        <v>1701</v>
      </c>
      <c r="G31" s="176">
        <v>62313</v>
      </c>
      <c r="H31" s="389" t="s">
        <v>714</v>
      </c>
      <c r="I31" s="175">
        <v>7485</v>
      </c>
      <c r="J31" s="175">
        <v>18155</v>
      </c>
      <c r="K31" s="175">
        <v>677</v>
      </c>
      <c r="L31" s="176">
        <v>232585</v>
      </c>
      <c r="M31" s="175">
        <v>2984</v>
      </c>
      <c r="N31" s="389" t="s">
        <v>714</v>
      </c>
      <c r="O31" s="389" t="s">
        <v>714</v>
      </c>
      <c r="P31" s="176">
        <v>20284</v>
      </c>
      <c r="Q31" s="176">
        <v>96948</v>
      </c>
      <c r="R31" s="177">
        <f>37825+5959</f>
        <v>43784</v>
      </c>
    </row>
    <row r="32" spans="1:18" s="22" customFormat="1" ht="18" customHeight="1">
      <c r="A32" s="382" t="s">
        <v>580</v>
      </c>
      <c r="B32" s="174">
        <f t="shared" si="1"/>
        <v>886494</v>
      </c>
      <c r="C32" s="175">
        <f t="shared" si="2"/>
        <v>804876</v>
      </c>
      <c r="D32" s="175">
        <v>554170</v>
      </c>
      <c r="E32" s="175">
        <v>47</v>
      </c>
      <c r="F32" s="175">
        <v>1978</v>
      </c>
      <c r="G32" s="176">
        <v>42346</v>
      </c>
      <c r="H32" s="389" t="s">
        <v>714</v>
      </c>
      <c r="I32" s="175">
        <v>7814</v>
      </c>
      <c r="J32" s="389" t="s">
        <v>714</v>
      </c>
      <c r="K32" s="389" t="s">
        <v>714</v>
      </c>
      <c r="L32" s="176">
        <v>181235</v>
      </c>
      <c r="M32" s="175">
        <v>9706</v>
      </c>
      <c r="N32" s="389" t="s">
        <v>714</v>
      </c>
      <c r="O32" s="389" t="s">
        <v>714</v>
      </c>
      <c r="P32" s="176">
        <v>7580</v>
      </c>
      <c r="Q32" s="176">
        <v>41499</v>
      </c>
      <c r="R32" s="177">
        <f>40059+92-32</f>
        <v>40119</v>
      </c>
    </row>
    <row r="33" spans="1:18" s="22" customFormat="1" ht="18" customHeight="1">
      <c r="A33" s="382" t="s">
        <v>581</v>
      </c>
      <c r="B33" s="174">
        <f t="shared" si="1"/>
        <v>1059259</v>
      </c>
      <c r="C33" s="175">
        <f t="shared" si="2"/>
        <v>1039595</v>
      </c>
      <c r="D33" s="175">
        <v>607700</v>
      </c>
      <c r="E33" s="175">
        <v>0</v>
      </c>
      <c r="F33" s="175">
        <v>1416</v>
      </c>
      <c r="G33" s="176">
        <v>45634</v>
      </c>
      <c r="H33" s="176">
        <v>1739</v>
      </c>
      <c r="I33" s="175">
        <v>8117</v>
      </c>
      <c r="J33" s="175">
        <v>58</v>
      </c>
      <c r="K33" s="389" t="s">
        <v>714</v>
      </c>
      <c r="L33" s="176">
        <v>318841</v>
      </c>
      <c r="M33" s="175">
        <v>19458</v>
      </c>
      <c r="N33" s="389" t="s">
        <v>714</v>
      </c>
      <c r="O33" s="175">
        <v>10000</v>
      </c>
      <c r="P33" s="176">
        <v>26632</v>
      </c>
      <c r="Q33" s="176">
        <v>12966</v>
      </c>
      <c r="R33" s="177">
        <f>5327+1339+32</f>
        <v>6698</v>
      </c>
    </row>
    <row r="34" spans="1:18" s="22" customFormat="1" ht="18" customHeight="1" thickBot="1">
      <c r="A34" s="383" t="s">
        <v>582</v>
      </c>
      <c r="B34" s="181">
        <f t="shared" si="1"/>
        <v>2519080</v>
      </c>
      <c r="C34" s="182">
        <f t="shared" si="2"/>
        <v>2530027</v>
      </c>
      <c r="D34" s="182">
        <v>1453469</v>
      </c>
      <c r="E34" s="182">
        <v>513</v>
      </c>
      <c r="F34" s="182">
        <v>7228</v>
      </c>
      <c r="G34" s="183">
        <v>49550</v>
      </c>
      <c r="H34" s="183">
        <v>1007</v>
      </c>
      <c r="I34" s="182">
        <v>14428</v>
      </c>
      <c r="J34" s="182">
        <f>296+2160</f>
        <v>2456</v>
      </c>
      <c r="K34" s="182">
        <v>28000</v>
      </c>
      <c r="L34" s="183">
        <v>940892</v>
      </c>
      <c r="M34" s="182">
        <v>-6608</v>
      </c>
      <c r="N34" s="390" t="s">
        <v>714</v>
      </c>
      <c r="O34" s="390" t="s">
        <v>714</v>
      </c>
      <c r="P34" s="183">
        <v>39092</v>
      </c>
      <c r="Q34" s="183">
        <v>24123</v>
      </c>
      <c r="R34" s="184">
        <f>-35638+500+68</f>
        <v>-35070</v>
      </c>
    </row>
    <row r="35" spans="1:9" s="37" customFormat="1" ht="12.75" customHeight="1">
      <c r="A35" s="167" t="s">
        <v>3</v>
      </c>
      <c r="B35" s="185"/>
      <c r="C35" s="185"/>
      <c r="D35" s="185"/>
      <c r="E35" s="185"/>
      <c r="F35" s="185"/>
      <c r="G35" s="185"/>
      <c r="H35" s="185"/>
      <c r="I35" s="37" t="s">
        <v>4</v>
      </c>
    </row>
    <row r="36" spans="1:9" s="22" customFormat="1" ht="12.75" customHeight="1">
      <c r="A36" s="168" t="s">
        <v>6</v>
      </c>
      <c r="I36" s="37" t="s">
        <v>5</v>
      </c>
    </row>
  </sheetData>
  <mergeCells count="11">
    <mergeCell ref="I7:J7"/>
    <mergeCell ref="Q6:Q7"/>
    <mergeCell ref="R6:R7"/>
    <mergeCell ref="I2:R2"/>
    <mergeCell ref="I3:R3"/>
    <mergeCell ref="A3:H3"/>
    <mergeCell ref="A2:H2"/>
    <mergeCell ref="B6:B7"/>
    <mergeCell ref="A7:A8"/>
    <mergeCell ref="A5:A6"/>
    <mergeCell ref="C6:H6"/>
  </mergeCells>
  <printOptions/>
  <pageMargins left="1.1811023622047245" right="1.1811023622047245" top="1.5748031496062993" bottom="1.5748031496062993" header="0.5118110236220472" footer="0.9055118110236221"/>
  <pageSetup firstPageNumber="306"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5.xml><?xml version="1.0" encoding="utf-8"?>
<worksheet xmlns="http://schemas.openxmlformats.org/spreadsheetml/2006/main" xmlns:r="http://schemas.openxmlformats.org/officeDocument/2006/relationships">
  <sheetPr>
    <tabColor indexed="29"/>
  </sheetPr>
  <dimension ref="A1:P35"/>
  <sheetViews>
    <sheetView showGridLines="0" zoomScale="120" zoomScaleNormal="120" workbookViewId="0" topLeftCell="G1">
      <selection activeCell="N8" sqref="N8"/>
    </sheetView>
  </sheetViews>
  <sheetFormatPr defaultColWidth="9.00390625" defaultRowHeight="16.5"/>
  <cols>
    <col min="1" max="1" width="11.625" style="14" customWidth="1"/>
    <col min="2" max="3" width="7.625" style="14" customWidth="1"/>
    <col min="4" max="7" width="8.625" style="14" customWidth="1"/>
    <col min="8" max="8" width="13.625" style="14" customWidth="1"/>
    <col min="9" max="9" width="10.625" style="14" customWidth="1"/>
    <col min="10" max="11" width="8.125" style="14" customWidth="1"/>
    <col min="12" max="12" width="11.625" style="14" customWidth="1"/>
    <col min="13" max="13" width="7.625" style="14" customWidth="1"/>
    <col min="14" max="16" width="9.625" style="14" customWidth="1"/>
    <col min="17" max="16384" width="9.00390625" style="14" customWidth="1"/>
  </cols>
  <sheetData>
    <row r="1" spans="1:16" s="15" customFormat="1" ht="18" customHeight="1">
      <c r="A1" s="12" t="s">
        <v>13</v>
      </c>
      <c r="B1" s="27"/>
      <c r="C1" s="27"/>
      <c r="D1" s="27"/>
      <c r="E1" s="27"/>
      <c r="P1" s="53" t="s">
        <v>14</v>
      </c>
    </row>
    <row r="2" spans="1:16" s="17" customFormat="1" ht="19.5" customHeight="1">
      <c r="A2" s="442" t="s">
        <v>10</v>
      </c>
      <c r="B2" s="441"/>
      <c r="C2" s="441"/>
      <c r="D2" s="441"/>
      <c r="E2" s="441"/>
      <c r="F2" s="441"/>
      <c r="G2" s="441"/>
      <c r="H2" s="441"/>
      <c r="I2" s="441" t="s">
        <v>11</v>
      </c>
      <c r="J2" s="441"/>
      <c r="K2" s="441"/>
      <c r="L2" s="441"/>
      <c r="M2" s="441"/>
      <c r="N2" s="441"/>
      <c r="O2" s="441"/>
      <c r="P2" s="441"/>
    </row>
    <row r="3" spans="1:16" s="17" customFormat="1" ht="19.5" customHeight="1">
      <c r="A3" s="441" t="s">
        <v>627</v>
      </c>
      <c r="B3" s="441"/>
      <c r="C3" s="441"/>
      <c r="D3" s="441"/>
      <c r="E3" s="441"/>
      <c r="F3" s="441"/>
      <c r="G3" s="441"/>
      <c r="H3" s="441"/>
      <c r="I3" s="441" t="s">
        <v>628</v>
      </c>
      <c r="J3" s="441"/>
      <c r="K3" s="441"/>
      <c r="L3" s="441"/>
      <c r="M3" s="441"/>
      <c r="N3" s="441"/>
      <c r="O3" s="441"/>
      <c r="P3" s="441"/>
    </row>
    <row r="4" spans="1:16" s="22" customFormat="1" ht="15" customHeight="1" thickBot="1">
      <c r="A4" s="169"/>
      <c r="B4" s="31"/>
      <c r="C4" s="31"/>
      <c r="D4" s="31"/>
      <c r="E4" s="31"/>
      <c r="F4" s="31"/>
      <c r="G4" s="31"/>
      <c r="H4" s="48" t="s">
        <v>658</v>
      </c>
      <c r="I4" s="36"/>
      <c r="J4" s="36"/>
      <c r="K4" s="36"/>
      <c r="L4" s="36"/>
      <c r="M4" s="36"/>
      <c r="N4" s="36"/>
      <c r="P4" s="44" t="s">
        <v>12</v>
      </c>
    </row>
    <row r="5" spans="1:16" s="22" customFormat="1" ht="19.5" customHeight="1">
      <c r="A5" s="187"/>
      <c r="B5" s="170"/>
      <c r="C5" s="171"/>
      <c r="D5" s="369" t="s">
        <v>613</v>
      </c>
      <c r="E5" s="171"/>
      <c r="F5" s="369" t="s">
        <v>614</v>
      </c>
      <c r="G5" s="171"/>
      <c r="H5" s="171"/>
      <c r="I5" s="171"/>
      <c r="J5" s="171"/>
      <c r="K5" s="171" t="s">
        <v>625</v>
      </c>
      <c r="L5" s="171"/>
      <c r="M5" s="171"/>
      <c r="N5" s="171"/>
      <c r="O5" s="188"/>
      <c r="P5" s="483" t="s">
        <v>615</v>
      </c>
    </row>
    <row r="6" spans="1:16" s="22" customFormat="1" ht="19.5" customHeight="1">
      <c r="A6" s="387" t="s">
        <v>616</v>
      </c>
      <c r="B6" s="474" t="s">
        <v>660</v>
      </c>
      <c r="C6" s="480" t="s">
        <v>626</v>
      </c>
      <c r="D6" s="481"/>
      <c r="E6" s="481"/>
      <c r="F6" s="481"/>
      <c r="G6" s="481"/>
      <c r="H6" s="481"/>
      <c r="I6" s="189"/>
      <c r="J6" s="189"/>
      <c r="K6" s="189" t="s">
        <v>659</v>
      </c>
      <c r="L6" s="172"/>
      <c r="M6" s="173"/>
      <c r="N6" s="470" t="s">
        <v>822</v>
      </c>
      <c r="O6" s="470" t="s">
        <v>823</v>
      </c>
      <c r="P6" s="484"/>
    </row>
    <row r="7" spans="1:16" s="22" customFormat="1" ht="27.75" customHeight="1">
      <c r="A7" s="476" t="s">
        <v>661</v>
      </c>
      <c r="B7" s="475"/>
      <c r="C7" s="371" t="s">
        <v>7</v>
      </c>
      <c r="D7" s="372" t="s">
        <v>617</v>
      </c>
      <c r="E7" s="372" t="s">
        <v>618</v>
      </c>
      <c r="F7" s="372" t="s">
        <v>619</v>
      </c>
      <c r="G7" s="374" t="s">
        <v>620</v>
      </c>
      <c r="H7" s="374" t="s">
        <v>8</v>
      </c>
      <c r="I7" s="372" t="s">
        <v>621</v>
      </c>
      <c r="J7" s="373" t="s">
        <v>622</v>
      </c>
      <c r="K7" s="374" t="s">
        <v>9</v>
      </c>
      <c r="L7" s="374" t="s">
        <v>623</v>
      </c>
      <c r="M7" s="374" t="s">
        <v>624</v>
      </c>
      <c r="N7" s="482"/>
      <c r="O7" s="482"/>
      <c r="P7" s="484"/>
    </row>
    <row r="8" spans="1:16" s="49" customFormat="1" ht="39.75" customHeight="1" thickBot="1">
      <c r="A8" s="477"/>
      <c r="B8" s="18" t="s">
        <v>526</v>
      </c>
      <c r="C8" s="20" t="s">
        <v>713</v>
      </c>
      <c r="D8" s="20" t="s">
        <v>583</v>
      </c>
      <c r="E8" s="20" t="s">
        <v>584</v>
      </c>
      <c r="F8" s="20" t="s">
        <v>585</v>
      </c>
      <c r="G8" s="20" t="s">
        <v>586</v>
      </c>
      <c r="H8" s="19" t="s">
        <v>587</v>
      </c>
      <c r="I8" s="20" t="s">
        <v>588</v>
      </c>
      <c r="J8" s="19" t="s">
        <v>590</v>
      </c>
      <c r="K8" s="19" t="s">
        <v>591</v>
      </c>
      <c r="L8" s="19" t="s">
        <v>592</v>
      </c>
      <c r="M8" s="19" t="s">
        <v>568</v>
      </c>
      <c r="N8" s="19" t="s">
        <v>569</v>
      </c>
      <c r="O8" s="19" t="s">
        <v>593</v>
      </c>
      <c r="P8" s="21" t="s">
        <v>594</v>
      </c>
    </row>
    <row r="9" spans="1:16" s="22" customFormat="1" ht="18" customHeight="1">
      <c r="A9" s="375" t="s">
        <v>34</v>
      </c>
      <c r="B9" s="174">
        <f>C9+N9+O9</f>
        <v>9887959</v>
      </c>
      <c r="C9" s="175">
        <f>SUM(D9:M9)</f>
        <v>8016950</v>
      </c>
      <c r="D9" s="175">
        <v>1384378</v>
      </c>
      <c r="E9" s="175">
        <v>278850</v>
      </c>
      <c r="F9" s="175">
        <v>3420101</v>
      </c>
      <c r="G9" s="176">
        <v>697386</v>
      </c>
      <c r="H9" s="176">
        <v>1540223</v>
      </c>
      <c r="I9" s="376" t="s">
        <v>714</v>
      </c>
      <c r="J9" s="176">
        <v>621633</v>
      </c>
      <c r="K9" s="175">
        <v>3577</v>
      </c>
      <c r="L9" s="376" t="s">
        <v>714</v>
      </c>
      <c r="M9" s="175">
        <v>70802</v>
      </c>
      <c r="N9" s="175">
        <v>1623486</v>
      </c>
      <c r="O9" s="176">
        <v>247523</v>
      </c>
      <c r="P9" s="177">
        <v>4683678</v>
      </c>
    </row>
    <row r="10" spans="1:16" s="22" customFormat="1" ht="18" customHeight="1">
      <c r="A10" s="375" t="s">
        <v>35</v>
      </c>
      <c r="B10" s="174">
        <f>C10+N10+O10</f>
        <v>12382316</v>
      </c>
      <c r="C10" s="175">
        <f>SUM(D10:M10)</f>
        <v>9814708</v>
      </c>
      <c r="D10" s="175">
        <v>1561399</v>
      </c>
      <c r="E10" s="175">
        <v>310732</v>
      </c>
      <c r="F10" s="175">
        <v>4732044</v>
      </c>
      <c r="G10" s="176">
        <v>809170</v>
      </c>
      <c r="H10" s="176">
        <v>1795012</v>
      </c>
      <c r="I10" s="376" t="s">
        <v>714</v>
      </c>
      <c r="J10" s="176">
        <v>526011</v>
      </c>
      <c r="K10" s="376" t="s">
        <v>714</v>
      </c>
      <c r="L10" s="376" t="s">
        <v>714</v>
      </c>
      <c r="M10" s="175">
        <v>80340</v>
      </c>
      <c r="N10" s="176">
        <v>2326800</v>
      </c>
      <c r="O10" s="176">
        <v>240808</v>
      </c>
      <c r="P10" s="177">
        <v>4709958</v>
      </c>
    </row>
    <row r="11" spans="1:16" s="22" customFormat="1" ht="18" customHeight="1">
      <c r="A11" s="379" t="s">
        <v>36</v>
      </c>
      <c r="B11" s="174">
        <f>C11+N11+O11</f>
        <v>11890933</v>
      </c>
      <c r="C11" s="175">
        <f>SUM(D11:M11)</f>
        <v>8833632</v>
      </c>
      <c r="D11" s="175">
        <v>1555762</v>
      </c>
      <c r="E11" s="175">
        <v>381884</v>
      </c>
      <c r="F11" s="175">
        <v>3554069</v>
      </c>
      <c r="G11" s="176">
        <v>987110</v>
      </c>
      <c r="H11" s="176">
        <v>1851869</v>
      </c>
      <c r="I11" s="376" t="s">
        <v>714</v>
      </c>
      <c r="J11" s="176">
        <v>416523</v>
      </c>
      <c r="K11" s="376" t="s">
        <v>714</v>
      </c>
      <c r="L11" s="376" t="s">
        <v>714</v>
      </c>
      <c r="M11" s="175">
        <v>86415</v>
      </c>
      <c r="N11" s="176">
        <v>2373212</v>
      </c>
      <c r="O11" s="176">
        <v>684089</v>
      </c>
      <c r="P11" s="177">
        <v>5946596</v>
      </c>
    </row>
    <row r="12" spans="1:16" s="22" customFormat="1" ht="14.25" customHeight="1">
      <c r="A12" s="385"/>
      <c r="B12" s="174"/>
      <c r="C12" s="175"/>
      <c r="D12" s="175"/>
      <c r="E12" s="175"/>
      <c r="F12" s="175"/>
      <c r="G12" s="176"/>
      <c r="H12" s="176"/>
      <c r="I12" s="175"/>
      <c r="J12" s="176"/>
      <c r="K12" s="175"/>
      <c r="L12" s="175"/>
      <c r="M12" s="175"/>
      <c r="N12" s="176"/>
      <c r="O12" s="176"/>
      <c r="P12" s="177"/>
    </row>
    <row r="13" spans="1:16" s="22" customFormat="1" ht="18" customHeight="1">
      <c r="A13" s="379" t="s">
        <v>37</v>
      </c>
      <c r="B13" s="174">
        <f>C13+N13+O13</f>
        <v>11884470</v>
      </c>
      <c r="C13" s="175">
        <f>SUM(D13:M13)</f>
        <v>8738997</v>
      </c>
      <c r="D13" s="175">
        <v>1740819</v>
      </c>
      <c r="E13" s="175">
        <v>340540</v>
      </c>
      <c r="F13" s="175">
        <v>2916394</v>
      </c>
      <c r="G13" s="176">
        <v>1342042</v>
      </c>
      <c r="H13" s="176">
        <v>1925180</v>
      </c>
      <c r="I13" s="376" t="s">
        <v>714</v>
      </c>
      <c r="J13" s="176">
        <v>364800</v>
      </c>
      <c r="K13" s="376" t="s">
        <v>714</v>
      </c>
      <c r="L13" s="376" t="s">
        <v>714</v>
      </c>
      <c r="M13" s="175">
        <v>109222</v>
      </c>
      <c r="N13" s="176">
        <v>2405547</v>
      </c>
      <c r="O13" s="176">
        <v>739926</v>
      </c>
      <c r="P13" s="177">
        <v>6606025</v>
      </c>
    </row>
    <row r="14" spans="1:16" s="22" customFormat="1" ht="18" customHeight="1">
      <c r="A14" s="381" t="s">
        <v>38</v>
      </c>
      <c r="B14" s="174">
        <f>C14+N14+O14</f>
        <v>12876894</v>
      </c>
      <c r="C14" s="175">
        <f>SUM(D14:M14)</f>
        <v>10361466</v>
      </c>
      <c r="D14" s="175">
        <f>1857626+163773</f>
        <v>2021399</v>
      </c>
      <c r="E14" s="175">
        <f>243424+148821</f>
        <v>392245</v>
      </c>
      <c r="F14" s="175">
        <f>683570+2530487</f>
        <v>3214057</v>
      </c>
      <c r="G14" s="176">
        <f>2188382+86568</f>
        <v>2274950</v>
      </c>
      <c r="H14" s="176">
        <f>1657519+519431</f>
        <v>2176950</v>
      </c>
      <c r="I14" s="376" t="s">
        <v>714</v>
      </c>
      <c r="J14" s="176">
        <f>60333+109528</f>
        <v>169861</v>
      </c>
      <c r="K14" s="376" t="s">
        <v>714</v>
      </c>
      <c r="L14" s="376" t="s">
        <v>714</v>
      </c>
      <c r="M14" s="175">
        <v>112004</v>
      </c>
      <c r="N14" s="176">
        <f>108241+2009598</f>
        <v>2117839</v>
      </c>
      <c r="O14" s="176">
        <f>86020+259360+52209</f>
        <v>397589</v>
      </c>
      <c r="P14" s="177">
        <v>8449437</v>
      </c>
    </row>
    <row r="15" spans="1:16" s="22" customFormat="1" ht="18" customHeight="1">
      <c r="A15" s="381" t="s">
        <v>39</v>
      </c>
      <c r="B15" s="174">
        <f>C15+N15+O15</f>
        <v>18574888</v>
      </c>
      <c r="C15" s="175">
        <f>SUM(D15:M15)</f>
        <v>14634735</v>
      </c>
      <c r="D15" s="175">
        <f>2871970+212102</f>
        <v>3084072</v>
      </c>
      <c r="E15" s="175">
        <f>371876+296525</f>
        <v>668401</v>
      </c>
      <c r="F15" s="175">
        <f>903009+2651451</f>
        <v>3554460</v>
      </c>
      <c r="G15" s="176">
        <f>3643649+127199</f>
        <v>3770848</v>
      </c>
      <c r="H15" s="176">
        <f>2490097+724105</f>
        <v>3214202</v>
      </c>
      <c r="I15" s="175">
        <f>269938</f>
        <v>269938</v>
      </c>
      <c r="J15" s="176">
        <f>71980</f>
        <v>71980</v>
      </c>
      <c r="K15" s="376" t="s">
        <v>714</v>
      </c>
      <c r="L15" s="376" t="s">
        <v>714</v>
      </c>
      <c r="M15" s="175">
        <f>834</f>
        <v>834</v>
      </c>
      <c r="N15" s="176">
        <f>172463+2727436</f>
        <v>2899899</v>
      </c>
      <c r="O15" s="176">
        <f>630413+37399+179583+33620+159239</f>
        <v>1040254</v>
      </c>
      <c r="P15" s="177">
        <f>9423461</f>
        <v>9423461</v>
      </c>
    </row>
    <row r="16" spans="1:16" s="22" customFormat="1" ht="14.25" customHeight="1">
      <c r="A16" s="386"/>
      <c r="B16" s="174"/>
      <c r="C16" s="175"/>
      <c r="D16" s="175"/>
      <c r="E16" s="175"/>
      <c r="F16" s="175"/>
      <c r="G16" s="176"/>
      <c r="H16" s="176"/>
      <c r="I16" s="175"/>
      <c r="J16" s="176"/>
      <c r="K16" s="175"/>
      <c r="L16" s="175"/>
      <c r="M16" s="175"/>
      <c r="N16" s="176"/>
      <c r="O16" s="176"/>
      <c r="P16" s="177"/>
    </row>
    <row r="17" spans="1:16" s="22" customFormat="1" ht="18" customHeight="1">
      <c r="A17" s="381" t="s">
        <v>40</v>
      </c>
      <c r="B17" s="174">
        <f>C17+N17+O17</f>
        <v>15356756</v>
      </c>
      <c r="C17" s="175">
        <f>SUM(D17:M17)</f>
        <v>11025497</v>
      </c>
      <c r="D17" s="175">
        <f>2117449+118803</f>
        <v>2236252</v>
      </c>
      <c r="E17" s="175">
        <f>322270+143757</f>
        <v>466027</v>
      </c>
      <c r="F17" s="175">
        <f>1232537+1835805</f>
        <v>3068342</v>
      </c>
      <c r="G17" s="176">
        <f>2648092+96843</f>
        <v>2744935</v>
      </c>
      <c r="H17" s="176">
        <f>2011931+271137</f>
        <v>2283068</v>
      </c>
      <c r="I17" s="175">
        <f>188281</f>
        <v>188281</v>
      </c>
      <c r="J17" s="176">
        <f>38522</f>
        <v>38522</v>
      </c>
      <c r="K17" s="376" t="s">
        <v>714</v>
      </c>
      <c r="L17" s="376" t="s">
        <v>714</v>
      </c>
      <c r="M17" s="175">
        <f>70</f>
        <v>70</v>
      </c>
      <c r="N17" s="176">
        <f>852339+3236320</f>
        <v>4088659</v>
      </c>
      <c r="O17" s="176">
        <f>27601+90246+26195+98558</f>
        <v>242600</v>
      </c>
      <c r="P17" s="177">
        <v>8269198</v>
      </c>
    </row>
    <row r="18" spans="1:16" s="22" customFormat="1" ht="18" customHeight="1">
      <c r="A18" s="381" t="s">
        <v>41</v>
      </c>
      <c r="B18" s="174">
        <f>C18+N18+O18</f>
        <v>16396085</v>
      </c>
      <c r="C18" s="175">
        <f>SUM(D18:M18)</f>
        <v>10879764</v>
      </c>
      <c r="D18" s="175">
        <v>2352690</v>
      </c>
      <c r="E18" s="175">
        <v>506523</v>
      </c>
      <c r="F18" s="175">
        <v>3898716</v>
      </c>
      <c r="G18" s="176">
        <v>1748329</v>
      </c>
      <c r="H18" s="176">
        <v>2105003</v>
      </c>
      <c r="I18" s="175">
        <v>207100</v>
      </c>
      <c r="J18" s="176">
        <v>50283</v>
      </c>
      <c r="K18" s="376" t="s">
        <v>714</v>
      </c>
      <c r="L18" s="376" t="s">
        <v>714</v>
      </c>
      <c r="M18" s="175">
        <v>11120</v>
      </c>
      <c r="N18" s="176">
        <v>3827058</v>
      </c>
      <c r="O18" s="176">
        <v>1689263</v>
      </c>
      <c r="P18" s="177">
        <v>6051867</v>
      </c>
    </row>
    <row r="19" spans="1:16" s="22" customFormat="1" ht="18" customHeight="1">
      <c r="A19" s="381" t="s">
        <v>42</v>
      </c>
      <c r="B19" s="174">
        <f>C19+N19+O19</f>
        <v>13260081</v>
      </c>
      <c r="C19" s="175">
        <f>SUM(D19:M19)</f>
        <v>9704317</v>
      </c>
      <c r="D19" s="175">
        <v>2262868</v>
      </c>
      <c r="E19" s="175">
        <v>467671</v>
      </c>
      <c r="F19" s="175">
        <v>2602569</v>
      </c>
      <c r="G19" s="176">
        <v>1645133</v>
      </c>
      <c r="H19" s="176">
        <v>2162930</v>
      </c>
      <c r="I19" s="175">
        <v>211071</v>
      </c>
      <c r="J19" s="176">
        <v>229651</v>
      </c>
      <c r="K19" s="376" t="s">
        <v>733</v>
      </c>
      <c r="L19" s="376" t="s">
        <v>733</v>
      </c>
      <c r="M19" s="175">
        <v>122424</v>
      </c>
      <c r="N19" s="176">
        <v>3099194</v>
      </c>
      <c r="O19" s="176">
        <v>456570</v>
      </c>
      <c r="P19" s="177">
        <v>6784273</v>
      </c>
    </row>
    <row r="20" spans="1:16" s="22" customFormat="1" ht="14.25" customHeight="1">
      <c r="A20" s="186"/>
      <c r="B20" s="174"/>
      <c r="C20" s="175"/>
      <c r="D20" s="175"/>
      <c r="E20" s="175"/>
      <c r="F20" s="175"/>
      <c r="G20" s="176"/>
      <c r="H20" s="176"/>
      <c r="I20" s="175"/>
      <c r="J20" s="176"/>
      <c r="K20" s="175"/>
      <c r="L20" s="175"/>
      <c r="M20" s="175"/>
      <c r="N20" s="176"/>
      <c r="O20" s="176"/>
      <c r="P20" s="177"/>
    </row>
    <row r="21" spans="1:16" s="22" customFormat="1" ht="18" customHeight="1">
      <c r="A21" s="381" t="s">
        <v>43</v>
      </c>
      <c r="B21" s="174">
        <f>SUM(B23:B34)</f>
        <v>15007649</v>
      </c>
      <c r="C21" s="175">
        <f>SUM(C23:C34)</f>
        <v>9986982</v>
      </c>
      <c r="D21" s="175">
        <f>SUM(D23:D34)</f>
        <v>2401690</v>
      </c>
      <c r="E21" s="175">
        <f aca="true" t="shared" si="0" ref="E21:O21">SUM(E23:E34)</f>
        <v>615515</v>
      </c>
      <c r="F21" s="175">
        <f t="shared" si="0"/>
        <v>3026607</v>
      </c>
      <c r="G21" s="176">
        <f t="shared" si="0"/>
        <v>1459180</v>
      </c>
      <c r="H21" s="176">
        <f t="shared" si="0"/>
        <v>2119276</v>
      </c>
      <c r="I21" s="175">
        <f t="shared" si="0"/>
        <v>226291</v>
      </c>
      <c r="J21" s="176">
        <f t="shared" si="0"/>
        <v>13684</v>
      </c>
      <c r="K21" s="376" t="s">
        <v>714</v>
      </c>
      <c r="L21" s="376" t="s">
        <v>714</v>
      </c>
      <c r="M21" s="175">
        <f t="shared" si="0"/>
        <v>124739</v>
      </c>
      <c r="N21" s="176">
        <f t="shared" si="0"/>
        <v>3324213</v>
      </c>
      <c r="O21" s="176">
        <f t="shared" si="0"/>
        <v>1696454</v>
      </c>
      <c r="P21" s="177">
        <v>7203503</v>
      </c>
    </row>
    <row r="22" spans="1:16" s="22" customFormat="1" ht="14.25" customHeight="1">
      <c r="A22" s="190"/>
      <c r="B22" s="174"/>
      <c r="C22" s="175"/>
      <c r="D22" s="175"/>
      <c r="E22" s="175"/>
      <c r="F22" s="175"/>
      <c r="G22" s="176"/>
      <c r="H22" s="176"/>
      <c r="I22" s="175"/>
      <c r="J22" s="176"/>
      <c r="K22" s="175"/>
      <c r="L22" s="175"/>
      <c r="M22" s="175"/>
      <c r="N22" s="176"/>
      <c r="O22" s="176"/>
      <c r="P22" s="177"/>
    </row>
    <row r="23" spans="1:16" s="22" customFormat="1" ht="18" customHeight="1">
      <c r="A23" s="382" t="s">
        <v>571</v>
      </c>
      <c r="B23" s="174">
        <f aca="true" t="shared" si="1" ref="B23:B34">C23+N23+O23</f>
        <v>883372</v>
      </c>
      <c r="C23" s="175">
        <f aca="true" t="shared" si="2" ref="C23:C34">SUM(D23:M23)</f>
        <v>716620</v>
      </c>
      <c r="D23" s="175">
        <f>301853+6295</f>
        <v>308148</v>
      </c>
      <c r="E23" s="175">
        <f>12506+840</f>
        <v>13346</v>
      </c>
      <c r="F23" s="175">
        <f>20010+17338</f>
        <v>37348</v>
      </c>
      <c r="G23" s="176">
        <f>56085+2000</f>
        <v>58085</v>
      </c>
      <c r="H23" s="176">
        <f>226101+2231</f>
        <v>228332</v>
      </c>
      <c r="I23" s="175">
        <v>69349</v>
      </c>
      <c r="J23" s="389" t="s">
        <v>714</v>
      </c>
      <c r="K23" s="389" t="s">
        <v>714</v>
      </c>
      <c r="L23" s="389" t="s">
        <v>714</v>
      </c>
      <c r="M23" s="175">
        <v>2012</v>
      </c>
      <c r="N23" s="176">
        <v>62603</v>
      </c>
      <c r="O23" s="176">
        <f>94611+6510+3028</f>
        <v>104149</v>
      </c>
      <c r="P23" s="177">
        <v>6690834</v>
      </c>
    </row>
    <row r="24" spans="1:16" s="22" customFormat="1" ht="18" customHeight="1">
      <c r="A24" s="382" t="s">
        <v>572</v>
      </c>
      <c r="B24" s="174">
        <f t="shared" si="1"/>
        <v>587070</v>
      </c>
      <c r="C24" s="175">
        <f t="shared" si="2"/>
        <v>416543</v>
      </c>
      <c r="D24" s="175">
        <f>123625+2659</f>
        <v>126284</v>
      </c>
      <c r="E24" s="175">
        <f>9311+2707</f>
        <v>12018</v>
      </c>
      <c r="F24" s="175">
        <f>21824+20238</f>
        <v>42062</v>
      </c>
      <c r="G24" s="176">
        <f>73331+7683</f>
        <v>81014</v>
      </c>
      <c r="H24" s="176">
        <f>127775+6679</f>
        <v>134454</v>
      </c>
      <c r="I24" s="175">
        <f>9933</f>
        <v>9933</v>
      </c>
      <c r="J24" s="176">
        <v>733</v>
      </c>
      <c r="K24" s="389" t="s">
        <v>714</v>
      </c>
      <c r="L24" s="389" t="s">
        <v>714</v>
      </c>
      <c r="M24" s="175">
        <v>10045</v>
      </c>
      <c r="N24" s="176">
        <v>127055</v>
      </c>
      <c r="O24" s="176">
        <f>47543-8695+4624</f>
        <v>43472</v>
      </c>
      <c r="P24" s="177">
        <v>6794581</v>
      </c>
    </row>
    <row r="25" spans="1:16" s="22" customFormat="1" ht="18" customHeight="1">
      <c r="A25" s="382" t="s">
        <v>573</v>
      </c>
      <c r="B25" s="174">
        <f t="shared" si="1"/>
        <v>1197688</v>
      </c>
      <c r="C25" s="175">
        <f t="shared" si="2"/>
        <v>677522</v>
      </c>
      <c r="D25" s="175">
        <f>171743+4576</f>
        <v>176319</v>
      </c>
      <c r="E25" s="175">
        <f>16212+10586</f>
        <v>26798</v>
      </c>
      <c r="F25" s="175">
        <f>35466+106145</f>
        <v>141611</v>
      </c>
      <c r="G25" s="176">
        <f>98881-6493</f>
        <v>92388</v>
      </c>
      <c r="H25" s="176">
        <f>148876+7987</f>
        <v>156863</v>
      </c>
      <c r="I25" s="175">
        <v>48227</v>
      </c>
      <c r="J25" s="176">
        <v>1757</v>
      </c>
      <c r="K25" s="389" t="s">
        <v>714</v>
      </c>
      <c r="L25" s="389" t="s">
        <v>714</v>
      </c>
      <c r="M25" s="175">
        <v>33559</v>
      </c>
      <c r="N25" s="176">
        <v>419727</v>
      </c>
      <c r="O25" s="176">
        <f>81249+14531+4659</f>
        <v>100439</v>
      </c>
      <c r="P25" s="177">
        <v>6555476</v>
      </c>
    </row>
    <row r="26" spans="1:16" s="22" customFormat="1" ht="18" customHeight="1">
      <c r="A26" s="382" t="s">
        <v>574</v>
      </c>
      <c r="B26" s="174">
        <f t="shared" si="1"/>
        <v>1101944</v>
      </c>
      <c r="C26" s="175">
        <f t="shared" si="2"/>
        <v>617392</v>
      </c>
      <c r="D26" s="175">
        <f>152051+6094</f>
        <v>158145</v>
      </c>
      <c r="E26" s="175">
        <f>24990+5604</f>
        <v>30594</v>
      </c>
      <c r="F26" s="175">
        <f>28127+162038</f>
        <v>190165</v>
      </c>
      <c r="G26" s="176">
        <f>91680+872</f>
        <v>92552</v>
      </c>
      <c r="H26" s="176">
        <f>122351+11092</f>
        <v>133443</v>
      </c>
      <c r="I26" s="175">
        <v>1693</v>
      </c>
      <c r="J26" s="389" t="s">
        <v>714</v>
      </c>
      <c r="K26" s="389" t="s">
        <v>714</v>
      </c>
      <c r="L26" s="389" t="s">
        <v>714</v>
      </c>
      <c r="M26" s="175">
        <v>10800</v>
      </c>
      <c r="N26" s="176">
        <v>421629</v>
      </c>
      <c r="O26" s="176">
        <f>46218+11685+5020</f>
        <v>62923</v>
      </c>
      <c r="P26" s="177">
        <v>6448178</v>
      </c>
    </row>
    <row r="27" spans="1:16" s="22" customFormat="1" ht="18" customHeight="1">
      <c r="A27" s="382" t="s">
        <v>575</v>
      </c>
      <c r="B27" s="174">
        <f t="shared" si="1"/>
        <v>1091351</v>
      </c>
      <c r="C27" s="175">
        <f t="shared" si="2"/>
        <v>583618</v>
      </c>
      <c r="D27" s="175">
        <f>146505+4779</f>
        <v>151284</v>
      </c>
      <c r="E27" s="175">
        <f>18688+18847</f>
        <v>37535</v>
      </c>
      <c r="F27" s="175">
        <f>36759+77252</f>
        <v>114011</v>
      </c>
      <c r="G27" s="176">
        <f>104018+4703</f>
        <v>108721</v>
      </c>
      <c r="H27" s="176">
        <f>127992+33000</f>
        <v>160992</v>
      </c>
      <c r="I27" s="175">
        <v>4430</v>
      </c>
      <c r="J27" s="176">
        <v>2106</v>
      </c>
      <c r="K27" s="389" t="s">
        <v>714</v>
      </c>
      <c r="L27" s="389" t="s">
        <v>714</v>
      </c>
      <c r="M27" s="175">
        <v>4539</v>
      </c>
      <c r="N27" s="176">
        <v>425022</v>
      </c>
      <c r="O27" s="176">
        <f>35876+43647+3188</f>
        <v>82711</v>
      </c>
      <c r="P27" s="177">
        <v>6581598</v>
      </c>
    </row>
    <row r="28" spans="1:16" s="22" customFormat="1" ht="18" customHeight="1">
      <c r="A28" s="382" t="s">
        <v>576</v>
      </c>
      <c r="B28" s="174">
        <f t="shared" si="1"/>
        <v>1846391</v>
      </c>
      <c r="C28" s="175">
        <f t="shared" si="2"/>
        <v>576235</v>
      </c>
      <c r="D28" s="175">
        <f>171333+3320</f>
        <v>174653</v>
      </c>
      <c r="E28" s="175">
        <f>17526+17588</f>
        <v>35114</v>
      </c>
      <c r="F28" s="175">
        <f>47851+77531</f>
        <v>125382</v>
      </c>
      <c r="G28" s="176">
        <f>99096+988</f>
        <v>100084</v>
      </c>
      <c r="H28" s="176">
        <f>120597+11908</f>
        <v>132505</v>
      </c>
      <c r="I28" s="175">
        <f>3184</f>
        <v>3184</v>
      </c>
      <c r="J28" s="176">
        <v>2518</v>
      </c>
      <c r="K28" s="389" t="s">
        <v>714</v>
      </c>
      <c r="L28" s="389" t="s">
        <v>714</v>
      </c>
      <c r="M28" s="175">
        <v>2795</v>
      </c>
      <c r="N28" s="176">
        <v>348109</v>
      </c>
      <c r="O28" s="176">
        <f>91386+38455+5506+452404+334296</f>
        <v>922047</v>
      </c>
      <c r="P28" s="177">
        <v>7306485</v>
      </c>
    </row>
    <row r="29" spans="1:16" s="22" customFormat="1" ht="18" customHeight="1">
      <c r="A29" s="382" t="s">
        <v>577</v>
      </c>
      <c r="B29" s="174">
        <f t="shared" si="1"/>
        <v>1132738</v>
      </c>
      <c r="C29" s="175">
        <f t="shared" si="2"/>
        <v>843040</v>
      </c>
      <c r="D29" s="175">
        <f>200296+6345</f>
        <v>206641</v>
      </c>
      <c r="E29" s="175">
        <f>21826+11621</f>
        <v>33447</v>
      </c>
      <c r="F29" s="175">
        <f>40932+211270</f>
        <v>252202</v>
      </c>
      <c r="G29" s="176">
        <f>110777+2289</f>
        <v>113066</v>
      </c>
      <c r="H29" s="176">
        <f>147568+13461</f>
        <v>161029</v>
      </c>
      <c r="I29" s="175">
        <f>69583</f>
        <v>69583</v>
      </c>
      <c r="J29" s="176">
        <v>3165</v>
      </c>
      <c r="K29" s="389" t="s">
        <v>714</v>
      </c>
      <c r="L29" s="389" t="s">
        <v>714</v>
      </c>
      <c r="M29" s="175">
        <v>3907</v>
      </c>
      <c r="N29" s="176">
        <v>195214</v>
      </c>
      <c r="O29" s="176">
        <f>73260-15048+3728+32544</f>
        <v>94484</v>
      </c>
      <c r="P29" s="177">
        <v>7848306</v>
      </c>
    </row>
    <row r="30" spans="1:16" s="22" customFormat="1" ht="18" customHeight="1">
      <c r="A30" s="382" t="s">
        <v>578</v>
      </c>
      <c r="B30" s="174">
        <f t="shared" si="1"/>
        <v>1248357</v>
      </c>
      <c r="C30" s="175">
        <f t="shared" si="2"/>
        <v>599491</v>
      </c>
      <c r="D30" s="175">
        <f>151304+12918</f>
        <v>164222</v>
      </c>
      <c r="E30" s="175">
        <f>15711+24641</f>
        <v>40352</v>
      </c>
      <c r="F30" s="175">
        <f>48845+120176</f>
        <v>169021</v>
      </c>
      <c r="G30" s="176">
        <f>94340+4851</f>
        <v>99191</v>
      </c>
      <c r="H30" s="176">
        <f>110154+6773</f>
        <v>116927</v>
      </c>
      <c r="I30" s="175">
        <v>5169</v>
      </c>
      <c r="J30" s="176">
        <v>426</v>
      </c>
      <c r="K30" s="389" t="s">
        <v>714</v>
      </c>
      <c r="L30" s="389" t="s">
        <v>714</v>
      </c>
      <c r="M30" s="175">
        <v>4183</v>
      </c>
      <c r="N30" s="176">
        <v>210430</v>
      </c>
      <c r="O30" s="176">
        <f>414077+22130+2229</f>
        <v>438436</v>
      </c>
      <c r="P30" s="177">
        <v>7588974</v>
      </c>
    </row>
    <row r="31" spans="1:16" s="22" customFormat="1" ht="18" customHeight="1">
      <c r="A31" s="382" t="s">
        <v>579</v>
      </c>
      <c r="B31" s="174">
        <f t="shared" si="1"/>
        <v>1064833</v>
      </c>
      <c r="C31" s="175">
        <f t="shared" si="2"/>
        <v>813602</v>
      </c>
      <c r="D31" s="175">
        <f>162045+12539</f>
        <v>174584</v>
      </c>
      <c r="E31" s="175">
        <f>24207+13067</f>
        <v>37274</v>
      </c>
      <c r="F31" s="175">
        <f>53673+216253</f>
        <v>269926</v>
      </c>
      <c r="G31" s="176">
        <f>106764+17612</f>
        <v>124376</v>
      </c>
      <c r="H31" s="176">
        <f>184140+12742</f>
        <v>196882</v>
      </c>
      <c r="I31" s="175">
        <f>4618</f>
        <v>4618</v>
      </c>
      <c r="J31" s="389" t="s">
        <v>714</v>
      </c>
      <c r="K31" s="389" t="s">
        <v>714</v>
      </c>
      <c r="L31" s="389" t="s">
        <v>714</v>
      </c>
      <c r="M31" s="175">
        <v>5942</v>
      </c>
      <c r="N31" s="176">
        <v>153995</v>
      </c>
      <c r="O31" s="176">
        <f>-31669+128721+184</f>
        <v>97236</v>
      </c>
      <c r="P31" s="177">
        <v>7360330</v>
      </c>
    </row>
    <row r="32" spans="1:16" s="22" customFormat="1" ht="18" customHeight="1">
      <c r="A32" s="382" t="s">
        <v>580</v>
      </c>
      <c r="B32" s="174">
        <f t="shared" si="1"/>
        <v>990900</v>
      </c>
      <c r="C32" s="175">
        <f t="shared" si="2"/>
        <v>722739</v>
      </c>
      <c r="D32" s="175">
        <f>147746+9215</f>
        <v>156961</v>
      </c>
      <c r="E32" s="175">
        <f>25089+27490</f>
        <v>52579</v>
      </c>
      <c r="F32" s="175">
        <f>34448+100382</f>
        <v>134830</v>
      </c>
      <c r="G32" s="176">
        <f>135245+4642</f>
        <v>139887</v>
      </c>
      <c r="H32" s="176">
        <f>182304+30090</f>
        <v>212394</v>
      </c>
      <c r="I32" s="175">
        <f>1350</f>
        <v>1350</v>
      </c>
      <c r="J32" s="176">
        <v>404</v>
      </c>
      <c r="K32" s="389" t="s">
        <v>714</v>
      </c>
      <c r="L32" s="389" t="s">
        <v>714</v>
      </c>
      <c r="M32" s="175">
        <v>24334</v>
      </c>
      <c r="N32" s="176">
        <v>298915</v>
      </c>
      <c r="O32" s="176">
        <f>-102670+63838+8078</f>
        <v>-30754</v>
      </c>
      <c r="P32" s="177">
        <v>7277084</v>
      </c>
    </row>
    <row r="33" spans="1:16" s="22" customFormat="1" ht="18" customHeight="1">
      <c r="A33" s="382" t="s">
        <v>581</v>
      </c>
      <c r="B33" s="174">
        <f t="shared" si="1"/>
        <v>1463523</v>
      </c>
      <c r="C33" s="175">
        <f t="shared" si="2"/>
        <v>970848</v>
      </c>
      <c r="D33" s="175">
        <f>158387+22360</f>
        <v>180747</v>
      </c>
      <c r="E33" s="175">
        <f>37579+35065</f>
        <v>72644</v>
      </c>
      <c r="F33" s="175">
        <f>49480+368282</f>
        <v>417762</v>
      </c>
      <c r="G33" s="176">
        <f>119887+6628</f>
        <v>126515</v>
      </c>
      <c r="H33" s="176">
        <f>137122+10175</f>
        <v>147297</v>
      </c>
      <c r="I33" s="175">
        <f>2960</f>
        <v>2960</v>
      </c>
      <c r="J33" s="176">
        <f>1502</f>
        <v>1502</v>
      </c>
      <c r="K33" s="389" t="s">
        <v>714</v>
      </c>
      <c r="L33" s="389" t="s">
        <v>714</v>
      </c>
      <c r="M33" s="175">
        <v>21421</v>
      </c>
      <c r="N33" s="176">
        <v>207572</v>
      </c>
      <c r="O33" s="176">
        <f>-14258+297791+1570</f>
        <v>285103</v>
      </c>
      <c r="P33" s="177">
        <v>6879260</v>
      </c>
    </row>
    <row r="34" spans="1:16" s="22" customFormat="1" ht="18" customHeight="1" thickBot="1">
      <c r="A34" s="383" t="s">
        <v>582</v>
      </c>
      <c r="B34" s="181">
        <f t="shared" si="1"/>
        <v>2399482</v>
      </c>
      <c r="C34" s="182">
        <f t="shared" si="2"/>
        <v>2449332</v>
      </c>
      <c r="D34" s="182">
        <f>342559+81143</f>
        <v>423702</v>
      </c>
      <c r="E34" s="182">
        <f>70812+153002</f>
        <v>223814</v>
      </c>
      <c r="F34" s="182">
        <f>165675+966612</f>
        <v>1132287</v>
      </c>
      <c r="G34" s="183">
        <f>280970+42331</f>
        <v>323301</v>
      </c>
      <c r="H34" s="183">
        <f>257394+80764</f>
        <v>338158</v>
      </c>
      <c r="I34" s="182">
        <f>5795</f>
        <v>5795</v>
      </c>
      <c r="J34" s="183">
        <v>1073</v>
      </c>
      <c r="K34" s="390" t="s">
        <v>714</v>
      </c>
      <c r="L34" s="390" t="s">
        <v>714</v>
      </c>
      <c r="M34" s="182">
        <v>1202</v>
      </c>
      <c r="N34" s="183">
        <v>453942</v>
      </c>
      <c r="O34" s="183">
        <f>-411461-151650+1819+57500</f>
        <v>-503792</v>
      </c>
      <c r="P34" s="184">
        <v>7203503</v>
      </c>
    </row>
    <row r="35" s="22" customFormat="1" ht="12.75">
      <c r="A35" s="37"/>
    </row>
  </sheetData>
  <mergeCells count="10">
    <mergeCell ref="A7:A8"/>
    <mergeCell ref="A3:H3"/>
    <mergeCell ref="N6:N7"/>
    <mergeCell ref="A2:H2"/>
    <mergeCell ref="B6:B7"/>
    <mergeCell ref="C6:H6"/>
    <mergeCell ref="O6:O7"/>
    <mergeCell ref="I2:P2"/>
    <mergeCell ref="I3:P3"/>
    <mergeCell ref="P5:P7"/>
  </mergeCells>
  <printOptions/>
  <pageMargins left="1.1811023622047245" right="1.1811023622047245" top="1.5748031496062993" bottom="1.5748031496062993" header="0.5118110236220472" footer="0.9055118110236221"/>
  <pageSetup firstPageNumber="308"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6.xml><?xml version="1.0" encoding="utf-8"?>
<worksheet xmlns="http://schemas.openxmlformats.org/spreadsheetml/2006/main" xmlns:r="http://schemas.openxmlformats.org/officeDocument/2006/relationships">
  <sheetPr>
    <tabColor indexed="29"/>
  </sheetPr>
  <dimension ref="A1:O40"/>
  <sheetViews>
    <sheetView showGridLines="0" zoomScale="120" zoomScaleNormal="120" workbookViewId="0" topLeftCell="A1">
      <selection activeCell="A1" sqref="A1"/>
    </sheetView>
  </sheetViews>
  <sheetFormatPr defaultColWidth="9.00390625" defaultRowHeight="16.5"/>
  <cols>
    <col min="1" max="1" width="11.625" style="14" customWidth="1"/>
    <col min="2" max="2" width="14.625" style="14" customWidth="1"/>
    <col min="3" max="3" width="10.125" style="14" customWidth="1"/>
    <col min="4" max="7" width="9.625" style="14" customWidth="1"/>
    <col min="8" max="8" width="12.625" style="14" customWidth="1"/>
    <col min="9" max="10" width="10.125" style="14" customWidth="1"/>
    <col min="11" max="13" width="10.625" style="14" customWidth="1"/>
    <col min="14" max="14" width="10.125" style="14" customWidth="1"/>
    <col min="15" max="16384" width="9.00390625" style="14" customWidth="1"/>
  </cols>
  <sheetData>
    <row r="1" spans="1:14" s="15" customFormat="1" ht="18" customHeight="1">
      <c r="A1" s="12" t="s">
        <v>731</v>
      </c>
      <c r="B1" s="27"/>
      <c r="C1" s="27"/>
      <c r="D1" s="27"/>
      <c r="E1" s="27"/>
      <c r="N1" s="53" t="s">
        <v>732</v>
      </c>
    </row>
    <row r="2" spans="1:14" s="17" customFormat="1" ht="21.75" customHeight="1">
      <c r="A2" s="442" t="s">
        <v>640</v>
      </c>
      <c r="B2" s="441"/>
      <c r="C2" s="441"/>
      <c r="D2" s="441"/>
      <c r="E2" s="441"/>
      <c r="F2" s="441"/>
      <c r="G2" s="441"/>
      <c r="H2" s="441" t="s">
        <v>641</v>
      </c>
      <c r="I2" s="441"/>
      <c r="J2" s="441"/>
      <c r="K2" s="441"/>
      <c r="L2" s="441"/>
      <c r="M2" s="441"/>
      <c r="N2" s="441"/>
    </row>
    <row r="3" spans="3:14" s="17" customFormat="1" ht="19.5" customHeight="1">
      <c r="C3" s="195"/>
      <c r="D3" s="54" t="s">
        <v>642</v>
      </c>
      <c r="E3" s="195"/>
      <c r="F3" s="195"/>
      <c r="H3" s="441" t="s">
        <v>643</v>
      </c>
      <c r="I3" s="441"/>
      <c r="J3" s="441"/>
      <c r="K3" s="441"/>
      <c r="L3" s="441"/>
      <c r="M3" s="441"/>
      <c r="N3" s="441"/>
    </row>
    <row r="4" spans="1:14" s="15" customFormat="1" ht="15" customHeight="1" thickBot="1">
      <c r="A4" s="7"/>
      <c r="B4" s="2"/>
      <c r="C4" s="16"/>
      <c r="D4" s="16"/>
      <c r="E4" s="16"/>
      <c r="F4" s="16"/>
      <c r="G4" s="1" t="s">
        <v>658</v>
      </c>
      <c r="H4" s="33"/>
      <c r="I4" s="2"/>
      <c r="J4" s="2"/>
      <c r="K4" s="2"/>
      <c r="L4" s="2"/>
      <c r="N4" s="53" t="s">
        <v>69</v>
      </c>
    </row>
    <row r="5" spans="1:14" s="15" customFormat="1" ht="30.75" customHeight="1">
      <c r="A5" s="488" t="s">
        <v>49</v>
      </c>
      <c r="B5" s="489"/>
      <c r="C5" s="325" t="s">
        <v>631</v>
      </c>
      <c r="D5" s="325" t="s">
        <v>50</v>
      </c>
      <c r="E5" s="304" t="s">
        <v>51</v>
      </c>
      <c r="F5" s="304" t="s">
        <v>52</v>
      </c>
      <c r="G5" s="303" t="s">
        <v>53</v>
      </c>
      <c r="H5" s="305" t="s">
        <v>54</v>
      </c>
      <c r="I5" s="304" t="s">
        <v>55</v>
      </c>
      <c r="J5" s="303" t="s">
        <v>56</v>
      </c>
      <c r="K5" s="304" t="s">
        <v>57</v>
      </c>
      <c r="L5" s="304" t="s">
        <v>58</v>
      </c>
      <c r="M5" s="304" t="s">
        <v>59</v>
      </c>
      <c r="N5" s="282" t="s">
        <v>60</v>
      </c>
    </row>
    <row r="6" spans="1:14" s="38" customFormat="1" ht="30.75" customHeight="1" thickBot="1">
      <c r="A6" s="487" t="s">
        <v>676</v>
      </c>
      <c r="B6" s="439"/>
      <c r="C6" s="13" t="s">
        <v>632</v>
      </c>
      <c r="D6" s="13" t="s">
        <v>633</v>
      </c>
      <c r="E6" s="41" t="s">
        <v>634</v>
      </c>
      <c r="F6" s="41" t="s">
        <v>635</v>
      </c>
      <c r="G6" s="41" t="s">
        <v>636</v>
      </c>
      <c r="H6" s="13" t="s">
        <v>648</v>
      </c>
      <c r="I6" s="41" t="s">
        <v>637</v>
      </c>
      <c r="J6" s="41" t="s">
        <v>638</v>
      </c>
      <c r="K6" s="41" t="s">
        <v>46</v>
      </c>
      <c r="L6" s="41" t="s">
        <v>639</v>
      </c>
      <c r="M6" s="41" t="s">
        <v>47</v>
      </c>
      <c r="N6" s="42" t="s">
        <v>48</v>
      </c>
    </row>
    <row r="7" spans="1:15" s="132" customFormat="1" ht="16.5" customHeight="1">
      <c r="A7" s="317" t="s">
        <v>61</v>
      </c>
      <c r="B7" s="375" t="s">
        <v>62</v>
      </c>
      <c r="C7" s="391">
        <f>SUM(D7:N7)</f>
        <v>10841678</v>
      </c>
      <c r="D7" s="10">
        <v>4231928</v>
      </c>
      <c r="E7" s="10">
        <v>24800</v>
      </c>
      <c r="F7" s="4">
        <v>14865</v>
      </c>
      <c r="G7" s="4">
        <f>380827+9600</f>
        <v>390427</v>
      </c>
      <c r="H7" s="311" t="s">
        <v>673</v>
      </c>
      <c r="I7" s="4">
        <v>2474</v>
      </c>
      <c r="J7" s="10">
        <v>586657</v>
      </c>
      <c r="K7" s="10">
        <v>6000</v>
      </c>
      <c r="L7" s="10">
        <v>5180307</v>
      </c>
      <c r="M7" s="16">
        <v>602</v>
      </c>
      <c r="N7" s="5">
        <v>403618</v>
      </c>
      <c r="O7" s="194"/>
    </row>
    <row r="8" spans="1:14" s="132" customFormat="1" ht="22.5" customHeight="1">
      <c r="A8" s="206">
        <v>1995</v>
      </c>
      <c r="B8" s="375" t="s">
        <v>45</v>
      </c>
      <c r="C8" s="391">
        <f>SUM(D8:N8)</f>
        <v>13105072</v>
      </c>
      <c r="D8" s="4">
        <v>4541287</v>
      </c>
      <c r="E8" s="16">
        <v>24500</v>
      </c>
      <c r="F8" s="4">
        <v>16665</v>
      </c>
      <c r="G8" s="4">
        <f>402027+14600</f>
        <v>416627</v>
      </c>
      <c r="H8" s="311" t="s">
        <v>714</v>
      </c>
      <c r="I8" s="4">
        <v>2474</v>
      </c>
      <c r="J8" s="392">
        <v>620037</v>
      </c>
      <c r="K8" s="55">
        <v>6000</v>
      </c>
      <c r="L8" s="16">
        <v>7075531</v>
      </c>
      <c r="M8" s="393">
        <v>1102</v>
      </c>
      <c r="N8" s="5">
        <v>400849</v>
      </c>
    </row>
    <row r="9" spans="1:14" s="15" customFormat="1" ht="6" customHeight="1">
      <c r="A9" s="206"/>
      <c r="B9" s="52"/>
      <c r="C9" s="10"/>
      <c r="D9" s="10"/>
      <c r="E9" s="4"/>
      <c r="F9" s="4"/>
      <c r="G9" s="4"/>
      <c r="H9" s="10"/>
      <c r="I9" s="4"/>
      <c r="J9" s="4"/>
      <c r="K9" s="4"/>
      <c r="L9" s="4"/>
      <c r="M9" s="4"/>
      <c r="N9" s="5"/>
    </row>
    <row r="10" spans="1:15" s="132" customFormat="1" ht="16.5" customHeight="1">
      <c r="A10" s="206" t="s">
        <v>176</v>
      </c>
      <c r="B10" s="375" t="s">
        <v>44</v>
      </c>
      <c r="C10" s="391">
        <f>SUM(D10:N10)</f>
        <v>11944312</v>
      </c>
      <c r="D10" s="10">
        <v>4909439</v>
      </c>
      <c r="E10" s="10">
        <v>36000</v>
      </c>
      <c r="F10" s="4">
        <v>19386</v>
      </c>
      <c r="G10" s="4">
        <f>442764+8200</f>
        <v>450964</v>
      </c>
      <c r="H10" s="311" t="s">
        <v>714</v>
      </c>
      <c r="I10" s="4">
        <v>2692</v>
      </c>
      <c r="J10" s="10">
        <v>695281</v>
      </c>
      <c r="K10" s="10">
        <v>34500</v>
      </c>
      <c r="L10" s="10">
        <v>5327263</v>
      </c>
      <c r="M10" s="16">
        <v>1002</v>
      </c>
      <c r="N10" s="5">
        <v>467785</v>
      </c>
      <c r="O10" s="194"/>
    </row>
    <row r="11" spans="1:14" s="132" customFormat="1" ht="22.5" customHeight="1">
      <c r="A11" s="206">
        <v>1996</v>
      </c>
      <c r="B11" s="375" t="s">
        <v>45</v>
      </c>
      <c r="C11" s="391">
        <f>SUM(D11:N11)</f>
        <v>15494930</v>
      </c>
      <c r="D11" s="4">
        <v>5062722</v>
      </c>
      <c r="E11" s="16">
        <v>36000</v>
      </c>
      <c r="F11" s="4">
        <v>21286</v>
      </c>
      <c r="G11" s="4">
        <f>466599+8200</f>
        <v>474799</v>
      </c>
      <c r="H11" s="311" t="s">
        <v>714</v>
      </c>
      <c r="I11" s="4">
        <v>2692</v>
      </c>
      <c r="J11" s="392">
        <v>705581</v>
      </c>
      <c r="K11" s="55">
        <v>38500</v>
      </c>
      <c r="L11" s="16">
        <v>8335309</v>
      </c>
      <c r="M11" s="393">
        <v>1002</v>
      </c>
      <c r="N11" s="5">
        <v>817039</v>
      </c>
    </row>
    <row r="12" spans="1:14" s="15" customFormat="1" ht="6" customHeight="1">
      <c r="A12" s="206"/>
      <c r="B12" s="52"/>
      <c r="C12" s="10"/>
      <c r="D12" s="10"/>
      <c r="E12" s="4"/>
      <c r="F12" s="4"/>
      <c r="G12" s="4"/>
      <c r="H12" s="10"/>
      <c r="I12" s="4"/>
      <c r="J12" s="4"/>
      <c r="K12" s="4"/>
      <c r="L12" s="4"/>
      <c r="M12" s="4"/>
      <c r="N12" s="5"/>
    </row>
    <row r="13" spans="1:15" s="132" customFormat="1" ht="16.5" customHeight="1">
      <c r="A13" s="206" t="s">
        <v>177</v>
      </c>
      <c r="B13" s="375" t="s">
        <v>44</v>
      </c>
      <c r="C13" s="391">
        <f>SUM(D13:N13)</f>
        <v>12913336</v>
      </c>
      <c r="D13" s="10">
        <v>5344949</v>
      </c>
      <c r="E13" s="10">
        <v>42080</v>
      </c>
      <c r="F13" s="4">
        <v>21632</v>
      </c>
      <c r="G13" s="4">
        <f>543929+8300</f>
        <v>552229</v>
      </c>
      <c r="H13" s="311" t="s">
        <v>714</v>
      </c>
      <c r="I13" s="4">
        <v>2944</v>
      </c>
      <c r="J13" s="10">
        <v>630298</v>
      </c>
      <c r="K13" s="10">
        <v>8500</v>
      </c>
      <c r="L13" s="10">
        <v>5996353</v>
      </c>
      <c r="M13" s="16">
        <v>802</v>
      </c>
      <c r="N13" s="5">
        <v>313549</v>
      </c>
      <c r="O13" s="194"/>
    </row>
    <row r="14" spans="1:14" s="132" customFormat="1" ht="22.5" customHeight="1">
      <c r="A14" s="206">
        <v>1997</v>
      </c>
      <c r="B14" s="375" t="s">
        <v>45</v>
      </c>
      <c r="C14" s="391">
        <f>SUM(D14:N14)</f>
        <v>14366157</v>
      </c>
      <c r="D14" s="4">
        <v>5493349</v>
      </c>
      <c r="E14" s="16">
        <v>42080</v>
      </c>
      <c r="F14" s="4">
        <v>22132</v>
      </c>
      <c r="G14" s="4">
        <f>556892+8300</f>
        <v>565192</v>
      </c>
      <c r="H14" s="311" t="s">
        <v>714</v>
      </c>
      <c r="I14" s="4">
        <v>2944</v>
      </c>
      <c r="J14" s="392">
        <v>354258</v>
      </c>
      <c r="K14" s="55">
        <v>8500</v>
      </c>
      <c r="L14" s="16">
        <v>7066660</v>
      </c>
      <c r="M14" s="393">
        <v>802</v>
      </c>
      <c r="N14" s="5">
        <v>810240</v>
      </c>
    </row>
    <row r="15" spans="1:14" s="15" customFormat="1" ht="6" customHeight="1">
      <c r="A15" s="206"/>
      <c r="B15" s="52"/>
      <c r="C15" s="10"/>
      <c r="D15" s="10"/>
      <c r="E15" s="4"/>
      <c r="F15" s="4"/>
      <c r="G15" s="4"/>
      <c r="H15" s="10"/>
      <c r="I15" s="4"/>
      <c r="J15" s="4"/>
      <c r="K15" s="4"/>
      <c r="L15" s="4"/>
      <c r="M15" s="4"/>
      <c r="N15" s="5"/>
    </row>
    <row r="16" spans="1:15" s="132" customFormat="1" ht="16.5" customHeight="1">
      <c r="A16" s="206" t="s">
        <v>63</v>
      </c>
      <c r="B16" s="375" t="s">
        <v>44</v>
      </c>
      <c r="C16" s="391">
        <f>SUM(D16:N16)</f>
        <v>12027150</v>
      </c>
      <c r="D16" s="10">
        <v>5414783</v>
      </c>
      <c r="E16" s="398" t="s">
        <v>714</v>
      </c>
      <c r="F16" s="4">
        <v>24669</v>
      </c>
      <c r="G16" s="4">
        <f>648635+17814</f>
        <v>666449</v>
      </c>
      <c r="H16" s="311" t="s">
        <v>714</v>
      </c>
      <c r="I16" s="4">
        <v>3177</v>
      </c>
      <c r="J16" s="10">
        <v>739941</v>
      </c>
      <c r="K16" s="10">
        <v>8200</v>
      </c>
      <c r="L16" s="10">
        <v>4692875</v>
      </c>
      <c r="M16" s="16">
        <v>802</v>
      </c>
      <c r="N16" s="5">
        <v>476254</v>
      </c>
      <c r="O16" s="194"/>
    </row>
    <row r="17" spans="1:14" s="132" customFormat="1" ht="22.5" customHeight="1">
      <c r="A17" s="206">
        <v>1998</v>
      </c>
      <c r="B17" s="375" t="s">
        <v>45</v>
      </c>
      <c r="C17" s="391">
        <f>SUM(D17:N17)</f>
        <v>13317497</v>
      </c>
      <c r="D17" s="4">
        <v>5568309</v>
      </c>
      <c r="E17" s="359" t="s">
        <v>714</v>
      </c>
      <c r="F17" s="4">
        <v>28152</v>
      </c>
      <c r="G17" s="4">
        <f>677549+23841</f>
        <v>701390</v>
      </c>
      <c r="H17" s="311" t="s">
        <v>714</v>
      </c>
      <c r="I17" s="4">
        <v>3177</v>
      </c>
      <c r="J17" s="392">
        <v>483175</v>
      </c>
      <c r="K17" s="55">
        <v>8200</v>
      </c>
      <c r="L17" s="16">
        <v>5568733</v>
      </c>
      <c r="M17" s="393">
        <v>959</v>
      </c>
      <c r="N17" s="5">
        <v>955402</v>
      </c>
    </row>
    <row r="18" spans="1:14" s="15" customFormat="1" ht="6" customHeight="1">
      <c r="A18" s="206"/>
      <c r="B18" s="52"/>
      <c r="C18" s="10"/>
      <c r="D18" s="10"/>
      <c r="E18" s="4"/>
      <c r="F18" s="4"/>
      <c r="G18" s="4"/>
      <c r="H18" s="10"/>
      <c r="I18" s="4"/>
      <c r="J18" s="4"/>
      <c r="K18" s="4"/>
      <c r="L18" s="4"/>
      <c r="M18" s="4"/>
      <c r="N18" s="5"/>
    </row>
    <row r="19" spans="1:15" s="132" customFormat="1" ht="16.5" customHeight="1">
      <c r="A19" s="206" t="s">
        <v>179</v>
      </c>
      <c r="B19" s="375" t="s">
        <v>44</v>
      </c>
      <c r="C19" s="391">
        <f>SUM(D19:N19)</f>
        <v>13043342</v>
      </c>
      <c r="D19" s="10">
        <v>5593440</v>
      </c>
      <c r="E19" s="398" t="s">
        <v>714</v>
      </c>
      <c r="F19" s="4">
        <v>27469</v>
      </c>
      <c r="G19" s="4">
        <v>736842</v>
      </c>
      <c r="H19" s="311" t="s">
        <v>714</v>
      </c>
      <c r="I19" s="4">
        <v>3186</v>
      </c>
      <c r="J19" s="10">
        <v>385572</v>
      </c>
      <c r="K19" s="10">
        <v>10677</v>
      </c>
      <c r="L19" s="10">
        <v>5948421</v>
      </c>
      <c r="M19" s="16">
        <v>2302</v>
      </c>
      <c r="N19" s="5">
        <v>335433</v>
      </c>
      <c r="O19" s="194"/>
    </row>
    <row r="20" spans="1:14" s="132" customFormat="1" ht="22.5" customHeight="1">
      <c r="A20" s="206">
        <v>1999</v>
      </c>
      <c r="B20" s="375" t="s">
        <v>45</v>
      </c>
      <c r="C20" s="391">
        <f>SUM(D20:N20)</f>
        <v>14461234</v>
      </c>
      <c r="D20" s="4">
        <v>5802774</v>
      </c>
      <c r="E20" s="359" t="s">
        <v>714</v>
      </c>
      <c r="F20" s="4">
        <v>27469</v>
      </c>
      <c r="G20" s="4">
        <f>710561+33280</f>
        <v>743841</v>
      </c>
      <c r="H20" s="311" t="s">
        <v>714</v>
      </c>
      <c r="I20" s="4">
        <v>3186</v>
      </c>
      <c r="J20" s="392">
        <v>422376</v>
      </c>
      <c r="K20" s="55">
        <v>10677</v>
      </c>
      <c r="L20" s="16">
        <v>7111467</v>
      </c>
      <c r="M20" s="393">
        <v>4011</v>
      </c>
      <c r="N20" s="5">
        <v>335433</v>
      </c>
    </row>
    <row r="21" spans="1:14" s="15" customFormat="1" ht="6" customHeight="1">
      <c r="A21" s="206"/>
      <c r="B21" s="52"/>
      <c r="C21" s="10"/>
      <c r="D21" s="10"/>
      <c r="E21" s="4"/>
      <c r="F21" s="4"/>
      <c r="G21" s="4"/>
      <c r="H21" s="10"/>
      <c r="I21" s="4"/>
      <c r="J21" s="4"/>
      <c r="K21" s="4"/>
      <c r="L21" s="4"/>
      <c r="M21" s="4"/>
      <c r="N21" s="5"/>
    </row>
    <row r="22" spans="1:15" s="132" customFormat="1" ht="16.5" customHeight="1">
      <c r="A22" s="450" t="s">
        <v>64</v>
      </c>
      <c r="B22" s="375" t="s">
        <v>44</v>
      </c>
      <c r="C22" s="391">
        <f>SUM(D22:N22)</f>
        <v>20361796</v>
      </c>
      <c r="D22" s="10">
        <v>8040689</v>
      </c>
      <c r="E22" s="311" t="s">
        <v>714</v>
      </c>
      <c r="F22" s="4">
        <v>45757</v>
      </c>
      <c r="G22" s="4">
        <v>1116251</v>
      </c>
      <c r="H22" s="399" t="s">
        <v>714</v>
      </c>
      <c r="I22" s="4">
        <v>12766</v>
      </c>
      <c r="J22" s="10">
        <v>783861</v>
      </c>
      <c r="K22" s="10">
        <v>41925</v>
      </c>
      <c r="L22" s="10">
        <v>9598999</v>
      </c>
      <c r="M22" s="16">
        <v>1453</v>
      </c>
      <c r="N22" s="5">
        <v>720095</v>
      </c>
      <c r="O22" s="194"/>
    </row>
    <row r="23" spans="1:14" s="132" customFormat="1" ht="22.5" customHeight="1">
      <c r="A23" s="451"/>
      <c r="B23" s="375" t="s">
        <v>45</v>
      </c>
      <c r="C23" s="391">
        <f>SUM(D23:N23)</f>
        <v>22714430</v>
      </c>
      <c r="D23" s="4">
        <v>9715669</v>
      </c>
      <c r="E23" s="16">
        <v>2078</v>
      </c>
      <c r="F23" s="4">
        <v>46557</v>
      </c>
      <c r="G23" s="4">
        <f>1011245+43000</f>
        <v>1054245</v>
      </c>
      <c r="H23" s="399" t="s">
        <v>714</v>
      </c>
      <c r="I23" s="4">
        <v>12766</v>
      </c>
      <c r="J23" s="392">
        <v>896687</v>
      </c>
      <c r="K23" s="55">
        <v>43225</v>
      </c>
      <c r="L23" s="16">
        <v>10223701</v>
      </c>
      <c r="M23" s="393">
        <v>144996</v>
      </c>
      <c r="N23" s="5">
        <v>574506</v>
      </c>
    </row>
    <row r="24" spans="1:14" s="15" customFormat="1" ht="6" customHeight="1">
      <c r="A24" s="206"/>
      <c r="B24" s="52"/>
      <c r="C24" s="10"/>
      <c r="D24" s="10"/>
      <c r="E24" s="4"/>
      <c r="F24" s="4"/>
      <c r="G24" s="4"/>
      <c r="H24" s="10"/>
      <c r="I24" s="4"/>
      <c r="J24" s="4"/>
      <c r="K24" s="4"/>
      <c r="L24" s="4"/>
      <c r="M24" s="4"/>
      <c r="N24" s="5"/>
    </row>
    <row r="25" spans="1:15" s="132" customFormat="1" ht="16.5" customHeight="1">
      <c r="A25" s="206" t="s">
        <v>65</v>
      </c>
      <c r="B25" s="375" t="s">
        <v>44</v>
      </c>
      <c r="C25" s="391">
        <f>SUM(D25:N25)</f>
        <v>14138705</v>
      </c>
      <c r="D25" s="10">
        <v>6832311</v>
      </c>
      <c r="E25" s="10">
        <v>2000</v>
      </c>
      <c r="F25" s="4">
        <v>25781</v>
      </c>
      <c r="G25" s="4">
        <f>640115-458610</f>
        <v>181505</v>
      </c>
      <c r="H25" s="394">
        <v>458610</v>
      </c>
      <c r="I25" s="4">
        <v>19747</v>
      </c>
      <c r="J25" s="10">
        <v>834233</v>
      </c>
      <c r="K25" s="10">
        <v>116784</v>
      </c>
      <c r="L25" s="10">
        <v>4739100</v>
      </c>
      <c r="M25" s="16">
        <v>903</v>
      </c>
      <c r="N25" s="5">
        <v>927731</v>
      </c>
      <c r="O25" s="194"/>
    </row>
    <row r="26" spans="1:14" s="132" customFormat="1" ht="22.5" customHeight="1">
      <c r="A26" s="206">
        <v>2001</v>
      </c>
      <c r="B26" s="375" t="s">
        <v>45</v>
      </c>
      <c r="C26" s="391">
        <f>SUM(D26:N26)</f>
        <v>15503465</v>
      </c>
      <c r="D26" s="4">
        <v>7339083</v>
      </c>
      <c r="E26" s="16">
        <v>2000</v>
      </c>
      <c r="F26" s="4">
        <v>17606</v>
      </c>
      <c r="G26" s="4">
        <f>587639+82000-458610</f>
        <v>211029</v>
      </c>
      <c r="H26" s="394">
        <v>458610</v>
      </c>
      <c r="I26" s="4">
        <v>19747</v>
      </c>
      <c r="J26" s="392">
        <v>881716</v>
      </c>
      <c r="K26" s="55">
        <v>116784</v>
      </c>
      <c r="L26" s="16">
        <v>5529862</v>
      </c>
      <c r="M26" s="393">
        <v>81161</v>
      </c>
      <c r="N26" s="5">
        <v>845867</v>
      </c>
    </row>
    <row r="27" spans="1:14" s="15" customFormat="1" ht="6" customHeight="1">
      <c r="A27" s="206"/>
      <c r="B27" s="52"/>
      <c r="C27" s="10"/>
      <c r="D27" s="10"/>
      <c r="E27" s="4"/>
      <c r="F27" s="4"/>
      <c r="G27" s="4"/>
      <c r="H27" s="10"/>
      <c r="I27" s="4"/>
      <c r="J27" s="4"/>
      <c r="K27" s="4"/>
      <c r="L27" s="4"/>
      <c r="M27" s="4"/>
      <c r="N27" s="5"/>
    </row>
    <row r="28" spans="1:15" s="132" customFormat="1" ht="16.5" customHeight="1">
      <c r="A28" s="206" t="s">
        <v>181</v>
      </c>
      <c r="B28" s="375" t="s">
        <v>44</v>
      </c>
      <c r="C28" s="391">
        <f>SUM(D28:N28)</f>
        <v>11688846</v>
      </c>
      <c r="D28" s="10">
        <v>6933282</v>
      </c>
      <c r="E28" s="10">
        <v>500</v>
      </c>
      <c r="F28" s="4">
        <v>13700</v>
      </c>
      <c r="G28" s="4">
        <f>673842-462538</f>
        <v>211304</v>
      </c>
      <c r="H28" s="394">
        <v>462538</v>
      </c>
      <c r="I28" s="4">
        <v>19150</v>
      </c>
      <c r="J28" s="10">
        <v>180713</v>
      </c>
      <c r="K28" s="10">
        <v>15296</v>
      </c>
      <c r="L28" s="10">
        <v>3131413</v>
      </c>
      <c r="M28" s="16">
        <v>80703</v>
      </c>
      <c r="N28" s="5">
        <v>640247</v>
      </c>
      <c r="O28" s="194"/>
    </row>
    <row r="29" spans="1:14" s="132" customFormat="1" ht="22.5" customHeight="1">
      <c r="A29" s="206">
        <v>2002</v>
      </c>
      <c r="B29" s="375" t="s">
        <v>45</v>
      </c>
      <c r="C29" s="391">
        <f>SUM(D29:N29)</f>
        <v>13571691</v>
      </c>
      <c r="D29" s="4">
        <v>7050665</v>
      </c>
      <c r="E29" s="16">
        <v>3500</v>
      </c>
      <c r="F29" s="4">
        <v>15078</v>
      </c>
      <c r="G29" s="4">
        <f>563006+58100-462538</f>
        <v>158568</v>
      </c>
      <c r="H29" s="394">
        <v>462538</v>
      </c>
      <c r="I29" s="4">
        <v>21850</v>
      </c>
      <c r="J29" s="392">
        <v>197377</v>
      </c>
      <c r="K29" s="55">
        <v>16225</v>
      </c>
      <c r="L29" s="16">
        <v>4894060</v>
      </c>
      <c r="M29" s="393">
        <v>80803</v>
      </c>
      <c r="N29" s="5">
        <v>671027</v>
      </c>
    </row>
    <row r="30" spans="1:14" s="15" customFormat="1" ht="6" customHeight="1">
      <c r="A30" s="206"/>
      <c r="B30" s="52"/>
      <c r="C30" s="10"/>
      <c r="D30" s="10"/>
      <c r="E30" s="4"/>
      <c r="F30" s="4"/>
      <c r="G30" s="4"/>
      <c r="H30" s="10"/>
      <c r="I30" s="4"/>
      <c r="J30" s="4"/>
      <c r="K30" s="4"/>
      <c r="L30" s="4"/>
      <c r="M30" s="4"/>
      <c r="N30" s="5"/>
    </row>
    <row r="31" spans="1:14" s="132" customFormat="1" ht="16.5" customHeight="1">
      <c r="A31" s="206" t="s">
        <v>182</v>
      </c>
      <c r="B31" s="375" t="s">
        <v>44</v>
      </c>
      <c r="C31" s="391">
        <f>SUM(D31:N31)</f>
        <v>11678660</v>
      </c>
      <c r="D31" s="4">
        <v>6565395</v>
      </c>
      <c r="E31" s="16">
        <v>1000</v>
      </c>
      <c r="F31" s="4">
        <v>12344</v>
      </c>
      <c r="G31" s="4">
        <f>487845-285453</f>
        <v>202392</v>
      </c>
      <c r="H31" s="394">
        <v>285453</v>
      </c>
      <c r="I31" s="4">
        <v>10527</v>
      </c>
      <c r="J31" s="392">
        <v>308043</v>
      </c>
      <c r="K31" s="55">
        <v>16546</v>
      </c>
      <c r="L31" s="16">
        <v>3559578</v>
      </c>
      <c r="M31" s="393">
        <v>228205</v>
      </c>
      <c r="N31" s="5">
        <v>489177</v>
      </c>
    </row>
    <row r="32" spans="1:14" s="132" customFormat="1" ht="22.5" customHeight="1">
      <c r="A32" s="206">
        <v>2003</v>
      </c>
      <c r="B32" s="375" t="s">
        <v>45</v>
      </c>
      <c r="C32" s="391">
        <f>SUM(D32:N32)</f>
        <v>12012654</v>
      </c>
      <c r="D32" s="4">
        <v>6528980</v>
      </c>
      <c r="E32" s="16">
        <v>1000</v>
      </c>
      <c r="F32" s="4">
        <v>12344</v>
      </c>
      <c r="G32" s="4">
        <f>446243+40817-285453</f>
        <v>201607</v>
      </c>
      <c r="H32" s="394">
        <v>285453</v>
      </c>
      <c r="I32" s="4">
        <v>10728</v>
      </c>
      <c r="J32" s="392">
        <v>294894</v>
      </c>
      <c r="K32" s="55">
        <v>16546</v>
      </c>
      <c r="L32" s="16">
        <v>3944450</v>
      </c>
      <c r="M32" s="393">
        <v>228205</v>
      </c>
      <c r="N32" s="5">
        <v>488447</v>
      </c>
    </row>
    <row r="33" spans="1:14" s="15" customFormat="1" ht="6" customHeight="1">
      <c r="A33" s="206"/>
      <c r="B33" s="52"/>
      <c r="C33" s="10"/>
      <c r="D33" s="10"/>
      <c r="E33" s="4"/>
      <c r="F33" s="4"/>
      <c r="G33" s="4"/>
      <c r="H33" s="10"/>
      <c r="I33" s="4"/>
      <c r="J33" s="4"/>
      <c r="K33" s="4"/>
      <c r="L33" s="4"/>
      <c r="M33" s="4"/>
      <c r="N33" s="5"/>
    </row>
    <row r="34" spans="1:14" s="132" customFormat="1" ht="16.5" customHeight="1">
      <c r="A34" s="206" t="s">
        <v>66</v>
      </c>
      <c r="B34" s="375" t="s">
        <v>44</v>
      </c>
      <c r="C34" s="391">
        <f>SUM(D34:N34)</f>
        <v>11749000</v>
      </c>
      <c r="D34" s="4">
        <v>6630095</v>
      </c>
      <c r="E34" s="16">
        <v>1000</v>
      </c>
      <c r="F34" s="4">
        <v>11759</v>
      </c>
      <c r="G34" s="4">
        <f>461355-251472</f>
        <v>209883</v>
      </c>
      <c r="H34" s="394">
        <v>251472</v>
      </c>
      <c r="I34" s="4">
        <v>6078</v>
      </c>
      <c r="J34" s="392">
        <v>154309</v>
      </c>
      <c r="K34" s="55">
        <v>43677</v>
      </c>
      <c r="L34" s="16">
        <v>3865349</v>
      </c>
      <c r="M34" s="393">
        <v>175299</v>
      </c>
      <c r="N34" s="5">
        <v>400079</v>
      </c>
    </row>
    <row r="35" spans="1:14" s="132" customFormat="1" ht="22.5" customHeight="1">
      <c r="A35" s="206">
        <v>2004</v>
      </c>
      <c r="B35" s="375" t="s">
        <v>45</v>
      </c>
      <c r="C35" s="391">
        <f>SUM(D35:N35)</f>
        <v>11749000</v>
      </c>
      <c r="D35" s="4">
        <v>6630095</v>
      </c>
      <c r="E35" s="16">
        <v>1000</v>
      </c>
      <c r="F35" s="4">
        <v>11759</v>
      </c>
      <c r="G35" s="4">
        <f>461355-251472</f>
        <v>209883</v>
      </c>
      <c r="H35" s="394">
        <v>251472</v>
      </c>
      <c r="I35" s="4">
        <v>6078</v>
      </c>
      <c r="J35" s="392">
        <v>154309</v>
      </c>
      <c r="K35" s="55">
        <v>43677</v>
      </c>
      <c r="L35" s="16">
        <v>3865349</v>
      </c>
      <c r="M35" s="393">
        <v>175299</v>
      </c>
      <c r="N35" s="5">
        <v>400079</v>
      </c>
    </row>
    <row r="36" spans="1:14" s="15" customFormat="1" ht="6" customHeight="1">
      <c r="A36" s="206"/>
      <c r="B36" s="52"/>
      <c r="C36" s="10"/>
      <c r="D36" s="10"/>
      <c r="E36" s="4"/>
      <c r="F36" s="4"/>
      <c r="G36" s="4"/>
      <c r="H36" s="10"/>
      <c r="I36" s="4"/>
      <c r="J36" s="4"/>
      <c r="K36" s="4"/>
      <c r="L36" s="4"/>
      <c r="M36" s="4"/>
      <c r="N36" s="5"/>
    </row>
    <row r="37" spans="1:14" s="132" customFormat="1" ht="16.5" customHeight="1">
      <c r="A37" s="206" t="s">
        <v>67</v>
      </c>
      <c r="B37" s="375" t="s">
        <v>44</v>
      </c>
      <c r="C37" s="391">
        <f>SUM(D37:N37)</f>
        <v>12218792</v>
      </c>
      <c r="D37" s="4">
        <v>7523800</v>
      </c>
      <c r="E37" s="16">
        <v>26000</v>
      </c>
      <c r="F37" s="4">
        <v>14466</v>
      </c>
      <c r="G37" s="4">
        <f>441508-255702</f>
        <v>185806</v>
      </c>
      <c r="H37" s="394">
        <f>204802+50900</f>
        <v>255702</v>
      </c>
      <c r="I37" s="4">
        <v>6025</v>
      </c>
      <c r="J37" s="392">
        <v>545953</v>
      </c>
      <c r="K37" s="55">
        <v>10149</v>
      </c>
      <c r="L37" s="16">
        <v>2940618</v>
      </c>
      <c r="M37" s="393">
        <v>326467</v>
      </c>
      <c r="N37" s="5">
        <v>383806</v>
      </c>
    </row>
    <row r="38" spans="1:14" s="132" customFormat="1" ht="22.5" customHeight="1" thickBot="1">
      <c r="A38" s="71">
        <v>2005</v>
      </c>
      <c r="B38" s="400" t="s">
        <v>45</v>
      </c>
      <c r="C38" s="395">
        <f>SUM(D38:N38)</f>
        <v>12218792</v>
      </c>
      <c r="D38" s="9">
        <v>7523800</v>
      </c>
      <c r="E38" s="35">
        <v>26000</v>
      </c>
      <c r="F38" s="9">
        <v>14466</v>
      </c>
      <c r="G38" s="9">
        <f>441508-255702</f>
        <v>185806</v>
      </c>
      <c r="H38" s="11">
        <v>255702</v>
      </c>
      <c r="I38" s="9">
        <v>6025</v>
      </c>
      <c r="J38" s="396">
        <v>545953</v>
      </c>
      <c r="K38" s="111">
        <v>10149</v>
      </c>
      <c r="L38" s="35">
        <v>2940618</v>
      </c>
      <c r="M38" s="397">
        <v>326467</v>
      </c>
      <c r="N38" s="29">
        <v>383806</v>
      </c>
    </row>
    <row r="39" spans="1:8" s="228" customFormat="1" ht="13.5" customHeight="1">
      <c r="A39" s="226" t="s">
        <v>598</v>
      </c>
      <c r="B39" s="227"/>
      <c r="C39" s="227"/>
      <c r="H39" s="229" t="s">
        <v>68</v>
      </c>
    </row>
    <row r="40" ht="12.75">
      <c r="B40" s="130"/>
    </row>
  </sheetData>
  <mergeCells count="6">
    <mergeCell ref="A22:A23"/>
    <mergeCell ref="A6:B6"/>
    <mergeCell ref="H2:N2"/>
    <mergeCell ref="H3:N3"/>
    <mergeCell ref="A2:G2"/>
    <mergeCell ref="A5:B5"/>
  </mergeCells>
  <printOptions/>
  <pageMargins left="1.1811023622047245" right="1.1811023622047245" top="1.5748031496062993" bottom="1.5748031496062993" header="0.5118110236220472" footer="0.9055118110236221"/>
  <pageSetup firstPageNumber="310" useFirstPageNumber="1" horizontalDpi="96" verticalDpi="96" orientation="portrait" paperSize="9" r:id="rId3"/>
  <headerFooter alignWithMargins="0">
    <oddFooter>&amp;C&amp;"超研澤中圓,Regula"&amp;11‧&amp;"Times New Roman,標準"&amp;P&amp;"超研澤中圓,Regula"‧</oddFooter>
  </headerFooter>
  <legacyDrawing r:id="rId2"/>
</worksheet>
</file>

<file path=xl/worksheets/sheet17.xml><?xml version="1.0" encoding="utf-8"?>
<worksheet xmlns="http://schemas.openxmlformats.org/spreadsheetml/2006/main" xmlns:r="http://schemas.openxmlformats.org/officeDocument/2006/relationships">
  <sheetPr>
    <tabColor indexed="29"/>
  </sheetPr>
  <dimension ref="A1:O26"/>
  <sheetViews>
    <sheetView showGridLines="0" zoomScale="115" zoomScaleNormal="115" workbookViewId="0" topLeftCell="A1">
      <selection activeCell="A1" sqref="A1"/>
    </sheetView>
  </sheetViews>
  <sheetFormatPr defaultColWidth="9.00390625" defaultRowHeight="16.5"/>
  <cols>
    <col min="1" max="1" width="16.625" style="14" customWidth="1"/>
    <col min="2" max="3" width="10.625" style="14" customWidth="1"/>
    <col min="4" max="4" width="13.625" style="14" customWidth="1"/>
    <col min="5" max="5" width="12.875" style="14" customWidth="1"/>
    <col min="6" max="6" width="10.625" style="14" customWidth="1"/>
    <col min="7" max="7" width="11.625" style="14" customWidth="1"/>
    <col min="8" max="9" width="10.125" style="14" customWidth="1"/>
    <col min="10" max="10" width="11.625" style="14" customWidth="1"/>
    <col min="11" max="11" width="10.125" style="14" customWidth="1"/>
    <col min="12" max="12" width="10.625" style="14" customWidth="1"/>
    <col min="13" max="13" width="10.125" style="14" customWidth="1"/>
    <col min="14" max="16384" width="9.00390625" style="14" customWidth="1"/>
  </cols>
  <sheetData>
    <row r="1" spans="1:13" s="15" customFormat="1" ht="19.5" customHeight="1">
      <c r="A1" s="12" t="s">
        <v>731</v>
      </c>
      <c r="B1" s="27"/>
      <c r="M1" s="53" t="s">
        <v>732</v>
      </c>
    </row>
    <row r="2" spans="1:13" s="17" customFormat="1" ht="24" customHeight="1">
      <c r="A2" s="442" t="s">
        <v>83</v>
      </c>
      <c r="B2" s="441"/>
      <c r="C2" s="441"/>
      <c r="D2" s="441"/>
      <c r="E2" s="441"/>
      <c r="F2" s="441"/>
      <c r="G2" s="441" t="s">
        <v>84</v>
      </c>
      <c r="H2" s="441"/>
      <c r="I2" s="441"/>
      <c r="J2" s="441"/>
      <c r="K2" s="441"/>
      <c r="L2" s="441"/>
      <c r="M2" s="441"/>
    </row>
    <row r="3" spans="1:15" s="17" customFormat="1" ht="15" customHeight="1">
      <c r="A3" s="442" t="s">
        <v>605</v>
      </c>
      <c r="B3" s="441"/>
      <c r="C3" s="441"/>
      <c r="D3" s="441"/>
      <c r="E3" s="441"/>
      <c r="F3" s="441"/>
      <c r="G3" s="441" t="s">
        <v>85</v>
      </c>
      <c r="H3" s="441"/>
      <c r="I3" s="441"/>
      <c r="J3" s="441"/>
      <c r="K3" s="441"/>
      <c r="L3" s="441"/>
      <c r="M3" s="441"/>
      <c r="N3" s="47"/>
      <c r="O3" s="47"/>
    </row>
    <row r="4" spans="1:13" s="15" customFormat="1" ht="15" customHeight="1" thickBot="1">
      <c r="A4" s="2"/>
      <c r="B4" s="16"/>
      <c r="C4" s="16"/>
      <c r="D4" s="16"/>
      <c r="E4" s="16"/>
      <c r="F4" s="24" t="s">
        <v>644</v>
      </c>
      <c r="H4" s="16"/>
      <c r="I4" s="16"/>
      <c r="J4" s="45"/>
      <c r="K4" s="45"/>
      <c r="L4" s="25"/>
      <c r="M4" s="26" t="s">
        <v>87</v>
      </c>
    </row>
    <row r="5" spans="1:13" s="15" customFormat="1" ht="42" customHeight="1">
      <c r="A5" s="322" t="s">
        <v>645</v>
      </c>
      <c r="B5" s="252" t="s">
        <v>70</v>
      </c>
      <c r="C5" s="325" t="s">
        <v>71</v>
      </c>
      <c r="D5" s="304" t="s">
        <v>72</v>
      </c>
      <c r="E5" s="304" t="s">
        <v>73</v>
      </c>
      <c r="F5" s="303" t="s">
        <v>74</v>
      </c>
      <c r="G5" s="305" t="s">
        <v>75</v>
      </c>
      <c r="H5" s="304" t="s">
        <v>76</v>
      </c>
      <c r="I5" s="303" t="s">
        <v>77</v>
      </c>
      <c r="J5" s="304" t="s">
        <v>78</v>
      </c>
      <c r="K5" s="304" t="s">
        <v>79</v>
      </c>
      <c r="L5" s="304" t="s">
        <v>80</v>
      </c>
      <c r="M5" s="282" t="s">
        <v>81</v>
      </c>
    </row>
    <row r="6" spans="1:13" s="15" customFormat="1" ht="42" customHeight="1" thickBot="1">
      <c r="A6" s="196" t="s">
        <v>676</v>
      </c>
      <c r="B6" s="40" t="s">
        <v>632</v>
      </c>
      <c r="C6" s="41" t="s">
        <v>633</v>
      </c>
      <c r="D6" s="41" t="s">
        <v>634</v>
      </c>
      <c r="E6" s="41" t="s">
        <v>635</v>
      </c>
      <c r="F6" s="41" t="s">
        <v>636</v>
      </c>
      <c r="G6" s="13" t="s">
        <v>648</v>
      </c>
      <c r="H6" s="41" t="s">
        <v>637</v>
      </c>
      <c r="I6" s="41" t="s">
        <v>638</v>
      </c>
      <c r="J6" s="41" t="s">
        <v>599</v>
      </c>
      <c r="K6" s="41" t="s">
        <v>639</v>
      </c>
      <c r="L6" s="41" t="s">
        <v>600</v>
      </c>
      <c r="M6" s="42" t="s">
        <v>601</v>
      </c>
    </row>
    <row r="7" spans="1:14" s="132" customFormat="1" ht="34.5" customHeight="1">
      <c r="A7" s="306" t="s">
        <v>155</v>
      </c>
      <c r="B7" s="391">
        <f>SUM(C7:M7)</f>
        <v>12255975</v>
      </c>
      <c r="C7" s="4">
        <v>5607086</v>
      </c>
      <c r="D7" s="10">
        <v>24454</v>
      </c>
      <c r="E7" s="10">
        <v>27393</v>
      </c>
      <c r="F7" s="4">
        <v>535797</v>
      </c>
      <c r="G7" s="311" t="s">
        <v>673</v>
      </c>
      <c r="H7" s="4">
        <v>2379</v>
      </c>
      <c r="I7" s="4">
        <v>96110</v>
      </c>
      <c r="J7" s="4">
        <v>6000</v>
      </c>
      <c r="K7" s="4">
        <v>5576628</v>
      </c>
      <c r="L7" s="4">
        <v>1100</v>
      </c>
      <c r="M7" s="5">
        <v>379028</v>
      </c>
      <c r="N7" s="194"/>
    </row>
    <row r="8" spans="1:14" s="132" customFormat="1" ht="12.75" customHeight="1">
      <c r="A8" s="46"/>
      <c r="B8" s="391"/>
      <c r="C8" s="4"/>
      <c r="D8" s="10"/>
      <c r="E8" s="10"/>
      <c r="F8" s="4"/>
      <c r="G8" s="10"/>
      <c r="H8" s="4"/>
      <c r="I8" s="4"/>
      <c r="J8" s="4"/>
      <c r="K8" s="4"/>
      <c r="L8" s="4"/>
      <c r="M8" s="5"/>
      <c r="N8" s="194"/>
    </row>
    <row r="9" spans="1:14" s="132" customFormat="1" ht="34.5" customHeight="1">
      <c r="A9" s="39" t="s">
        <v>156</v>
      </c>
      <c r="B9" s="391">
        <f>SUM(C9:M9)</f>
        <v>13619908</v>
      </c>
      <c r="C9" s="4">
        <v>5956369</v>
      </c>
      <c r="D9" s="10">
        <v>36081</v>
      </c>
      <c r="E9" s="10">
        <v>23257</v>
      </c>
      <c r="F9" s="4">
        <v>648206</v>
      </c>
      <c r="G9" s="311" t="s">
        <v>673</v>
      </c>
      <c r="H9" s="4">
        <v>2946</v>
      </c>
      <c r="I9" s="4">
        <v>266470</v>
      </c>
      <c r="J9" s="4">
        <v>9116</v>
      </c>
      <c r="K9" s="4">
        <v>6285831</v>
      </c>
      <c r="L9" s="4">
        <v>843</v>
      </c>
      <c r="M9" s="5">
        <v>390789</v>
      </c>
      <c r="N9" s="194"/>
    </row>
    <row r="10" spans="1:14" s="132" customFormat="1" ht="12.75" customHeight="1">
      <c r="A10" s="46"/>
      <c r="B10" s="391"/>
      <c r="C10" s="4"/>
      <c r="D10" s="10"/>
      <c r="E10" s="10"/>
      <c r="F10" s="4"/>
      <c r="G10" s="10"/>
      <c r="H10" s="4"/>
      <c r="I10" s="4"/>
      <c r="J10" s="4"/>
      <c r="K10" s="4"/>
      <c r="L10" s="4"/>
      <c r="M10" s="5"/>
      <c r="N10" s="194"/>
    </row>
    <row r="11" spans="1:14" s="132" customFormat="1" ht="34.5" customHeight="1">
      <c r="A11" s="39" t="s">
        <v>157</v>
      </c>
      <c r="B11" s="391">
        <f>SUM(C11:M11)</f>
        <v>13241834</v>
      </c>
      <c r="C11" s="4">
        <v>5729124</v>
      </c>
      <c r="D11" s="10">
        <v>42398</v>
      </c>
      <c r="E11" s="10">
        <v>29798</v>
      </c>
      <c r="F11" s="4">
        <v>783424</v>
      </c>
      <c r="G11" s="311" t="s">
        <v>158</v>
      </c>
      <c r="H11" s="4">
        <v>2889</v>
      </c>
      <c r="I11" s="4">
        <v>302634</v>
      </c>
      <c r="J11" s="4">
        <v>8500</v>
      </c>
      <c r="K11" s="4">
        <v>5876455</v>
      </c>
      <c r="L11" s="4">
        <v>3017</v>
      </c>
      <c r="M11" s="5">
        <v>463595</v>
      </c>
      <c r="N11" s="194"/>
    </row>
    <row r="12" spans="1:14" s="132" customFormat="1" ht="12.75" customHeight="1">
      <c r="A12" s="46"/>
      <c r="B12" s="391"/>
      <c r="C12" s="4"/>
      <c r="D12" s="10"/>
      <c r="E12" s="10"/>
      <c r="F12" s="4"/>
      <c r="G12" s="10"/>
      <c r="H12" s="4"/>
      <c r="I12" s="4"/>
      <c r="J12" s="4"/>
      <c r="K12" s="4"/>
      <c r="L12" s="4"/>
      <c r="M12" s="5"/>
      <c r="N12" s="194"/>
    </row>
    <row r="13" spans="1:14" s="132" customFormat="1" ht="34.5" customHeight="1">
      <c r="A13" s="39" t="s">
        <v>159</v>
      </c>
      <c r="B13" s="391">
        <f>SUM(C13:M13)</f>
        <v>11934914</v>
      </c>
      <c r="C13" s="4">
        <v>5794159</v>
      </c>
      <c r="D13" s="10">
        <v>140</v>
      </c>
      <c r="E13" s="10">
        <v>38229</v>
      </c>
      <c r="F13" s="4">
        <v>783554</v>
      </c>
      <c r="G13" s="311" t="s">
        <v>158</v>
      </c>
      <c r="H13" s="4">
        <v>2905</v>
      </c>
      <c r="I13" s="4">
        <v>361255</v>
      </c>
      <c r="J13" s="4">
        <v>10000</v>
      </c>
      <c r="K13" s="4">
        <v>4461210</v>
      </c>
      <c r="L13" s="4">
        <v>1324</v>
      </c>
      <c r="M13" s="5">
        <v>482138</v>
      </c>
      <c r="N13" s="194"/>
    </row>
    <row r="14" spans="1:14" s="132" customFormat="1" ht="12.75" customHeight="1">
      <c r="A14" s="46"/>
      <c r="B14" s="391"/>
      <c r="C14" s="4"/>
      <c r="D14" s="10"/>
      <c r="E14" s="10"/>
      <c r="F14" s="4"/>
      <c r="G14" s="10"/>
      <c r="H14" s="4"/>
      <c r="I14" s="4"/>
      <c r="J14" s="4"/>
      <c r="K14" s="4"/>
      <c r="L14" s="4"/>
      <c r="M14" s="5"/>
      <c r="N14" s="194"/>
    </row>
    <row r="15" spans="1:14" s="132" customFormat="1" ht="34.5" customHeight="1">
      <c r="A15" s="39" t="s">
        <v>160</v>
      </c>
      <c r="B15" s="391">
        <f>SUM(C15:M15)</f>
        <v>14636639</v>
      </c>
      <c r="C15" s="4">
        <v>6288306</v>
      </c>
      <c r="D15" s="10">
        <v>582</v>
      </c>
      <c r="E15" s="10">
        <v>31047</v>
      </c>
      <c r="F15" s="4">
        <v>814108</v>
      </c>
      <c r="G15" s="311" t="s">
        <v>158</v>
      </c>
      <c r="H15" s="4">
        <v>2999</v>
      </c>
      <c r="I15" s="4">
        <v>495458</v>
      </c>
      <c r="J15" s="4">
        <v>8177</v>
      </c>
      <c r="K15" s="4">
        <v>6395914</v>
      </c>
      <c r="L15" s="4">
        <v>2722</v>
      </c>
      <c r="M15" s="5">
        <v>597326</v>
      </c>
      <c r="N15" s="194"/>
    </row>
    <row r="16" spans="1:14" s="132" customFormat="1" ht="12.75" customHeight="1">
      <c r="A16" s="46"/>
      <c r="B16" s="391"/>
      <c r="C16" s="4"/>
      <c r="D16" s="10"/>
      <c r="E16" s="10"/>
      <c r="F16" s="4"/>
      <c r="G16" s="10"/>
      <c r="H16" s="4"/>
      <c r="I16" s="4"/>
      <c r="J16" s="4"/>
      <c r="K16" s="4"/>
      <c r="L16" s="4"/>
      <c r="M16" s="5"/>
      <c r="N16" s="194"/>
    </row>
    <row r="17" spans="1:13" s="132" customFormat="1" ht="34.5" customHeight="1">
      <c r="A17" s="39" t="s">
        <v>82</v>
      </c>
      <c r="B17" s="391">
        <f>SUM(C17:M17)</f>
        <v>20489057</v>
      </c>
      <c r="C17" s="4">
        <v>10251327</v>
      </c>
      <c r="D17" s="4">
        <v>6726</v>
      </c>
      <c r="E17" s="4">
        <v>45580</v>
      </c>
      <c r="F17" s="4">
        <v>1195284</v>
      </c>
      <c r="G17" s="311" t="s">
        <v>158</v>
      </c>
      <c r="H17" s="4">
        <v>14728</v>
      </c>
      <c r="I17" s="55">
        <v>769769</v>
      </c>
      <c r="J17" s="55">
        <v>45725</v>
      </c>
      <c r="K17" s="4">
        <v>7387124</v>
      </c>
      <c r="L17" s="55">
        <v>44581</v>
      </c>
      <c r="M17" s="5">
        <v>728213</v>
      </c>
    </row>
    <row r="18" spans="1:13" s="132" customFormat="1" ht="12.75" customHeight="1">
      <c r="A18" s="46"/>
      <c r="B18" s="391"/>
      <c r="C18" s="10"/>
      <c r="D18" s="10"/>
      <c r="E18" s="10"/>
      <c r="F18" s="4"/>
      <c r="G18" s="10"/>
      <c r="H18" s="4"/>
      <c r="I18" s="55"/>
      <c r="J18" s="55"/>
      <c r="K18" s="4"/>
      <c r="L18" s="55"/>
      <c r="M18" s="5"/>
    </row>
    <row r="19" spans="1:14" s="132" customFormat="1" ht="34.5" customHeight="1">
      <c r="A19" s="39" t="s">
        <v>162</v>
      </c>
      <c r="B19" s="391">
        <f>SUM(C19:M19)</f>
        <v>14220376</v>
      </c>
      <c r="C19" s="10">
        <v>7549933</v>
      </c>
      <c r="D19" s="10">
        <v>3629</v>
      </c>
      <c r="E19" s="10">
        <v>18751</v>
      </c>
      <c r="F19" s="4">
        <f>701642-500730</f>
        <v>200912</v>
      </c>
      <c r="G19" s="10">
        <v>500730</v>
      </c>
      <c r="H19" s="4">
        <v>18662</v>
      </c>
      <c r="I19" s="4">
        <v>659885</v>
      </c>
      <c r="J19" s="4">
        <v>133648</v>
      </c>
      <c r="K19" s="4">
        <v>4219044</v>
      </c>
      <c r="L19" s="4">
        <v>81161</v>
      </c>
      <c r="M19" s="5">
        <v>834021</v>
      </c>
      <c r="N19" s="194"/>
    </row>
    <row r="20" spans="1:14" s="132" customFormat="1" ht="12.75" customHeight="1">
      <c r="A20" s="46"/>
      <c r="B20" s="391"/>
      <c r="C20" s="10"/>
      <c r="D20" s="10"/>
      <c r="E20" s="10"/>
      <c r="F20" s="4"/>
      <c r="G20" s="10"/>
      <c r="H20" s="4"/>
      <c r="I20" s="4"/>
      <c r="J20" s="4"/>
      <c r="K20" s="4"/>
      <c r="L20" s="4"/>
      <c r="M20" s="5"/>
      <c r="N20" s="194"/>
    </row>
    <row r="21" spans="1:14" s="132" customFormat="1" ht="34.5" customHeight="1">
      <c r="A21" s="39" t="s">
        <v>163</v>
      </c>
      <c r="B21" s="391">
        <f>SUM(C21:M21)</f>
        <v>13279716.95482</v>
      </c>
      <c r="C21" s="10">
        <v>7398158.267</v>
      </c>
      <c r="D21" s="10">
        <v>3616.911</v>
      </c>
      <c r="E21" s="10">
        <v>22603.329</v>
      </c>
      <c r="F21" s="4">
        <f>(588249950-377535522)/1000</f>
        <v>210714.428</v>
      </c>
      <c r="G21" s="10">
        <v>377535.522</v>
      </c>
      <c r="H21" s="4">
        <v>22171.009</v>
      </c>
      <c r="I21" s="4">
        <v>237412.08734</v>
      </c>
      <c r="J21" s="4">
        <v>15129</v>
      </c>
      <c r="K21" s="4">
        <v>4262019.78</v>
      </c>
      <c r="L21" s="4">
        <v>90934.337</v>
      </c>
      <c r="M21" s="5">
        <v>639422.28448</v>
      </c>
      <c r="N21" s="194"/>
    </row>
    <row r="22" spans="1:14" s="132" customFormat="1" ht="12.75" customHeight="1">
      <c r="A22" s="46"/>
      <c r="B22" s="391"/>
      <c r="C22" s="10"/>
      <c r="D22" s="10"/>
      <c r="E22" s="10"/>
      <c r="F22" s="4"/>
      <c r="G22" s="10"/>
      <c r="H22" s="4"/>
      <c r="I22" s="4"/>
      <c r="J22" s="4"/>
      <c r="K22" s="4"/>
      <c r="L22" s="4"/>
      <c r="M22" s="5"/>
      <c r="N22" s="194"/>
    </row>
    <row r="23" spans="1:14" s="132" customFormat="1" ht="34.5" customHeight="1">
      <c r="A23" s="39" t="s">
        <v>164</v>
      </c>
      <c r="B23" s="391">
        <f>SUM(C23:M23)</f>
        <v>13128714.9735</v>
      </c>
      <c r="C23" s="10">
        <v>7647722.78</v>
      </c>
      <c r="D23" s="10">
        <v>7048.106</v>
      </c>
      <c r="E23" s="10">
        <v>19965.693</v>
      </c>
      <c r="F23" s="4">
        <v>225663.269</v>
      </c>
      <c r="G23" s="10">
        <v>333957.758</v>
      </c>
      <c r="H23" s="4">
        <v>15122.691</v>
      </c>
      <c r="I23" s="4">
        <v>270694.3665</v>
      </c>
      <c r="J23" s="4">
        <v>16000</v>
      </c>
      <c r="K23" s="4">
        <v>3709041.741</v>
      </c>
      <c r="L23" s="4">
        <v>292404.795</v>
      </c>
      <c r="M23" s="5">
        <v>591093.774</v>
      </c>
      <c r="N23" s="194"/>
    </row>
    <row r="24" spans="1:14" s="132" customFormat="1" ht="12.75" customHeight="1">
      <c r="A24" s="46"/>
      <c r="B24" s="391"/>
      <c r="C24" s="10"/>
      <c r="D24" s="10"/>
      <c r="E24" s="10"/>
      <c r="F24" s="4"/>
      <c r="G24" s="10"/>
      <c r="H24" s="4"/>
      <c r="I24" s="4"/>
      <c r="J24" s="4"/>
      <c r="K24" s="4"/>
      <c r="L24" s="4"/>
      <c r="M24" s="5"/>
      <c r="N24" s="194"/>
    </row>
    <row r="25" spans="1:13" s="132" customFormat="1" ht="34.5" customHeight="1" thickBot="1">
      <c r="A25" s="50" t="s">
        <v>165</v>
      </c>
      <c r="B25" s="395">
        <f>SUM(C25:M25)</f>
        <v>14921603.532</v>
      </c>
      <c r="C25" s="9">
        <v>8703365.193</v>
      </c>
      <c r="D25" s="9">
        <v>6818.32</v>
      </c>
      <c r="E25" s="9">
        <v>25937.993</v>
      </c>
      <c r="F25" s="9">
        <f>572021.073-322118.765-459.286</f>
        <v>249443.02199999997</v>
      </c>
      <c r="G25" s="11">
        <f>(322118765+459286)/1000</f>
        <v>322578.051</v>
      </c>
      <c r="H25" s="9">
        <v>5993.046</v>
      </c>
      <c r="I25" s="111">
        <v>128027.514</v>
      </c>
      <c r="J25" s="111">
        <v>43677</v>
      </c>
      <c r="K25" s="9">
        <v>4673830.365</v>
      </c>
      <c r="L25" s="111">
        <v>248759.647</v>
      </c>
      <c r="M25" s="29">
        <v>513173.381</v>
      </c>
    </row>
    <row r="26" spans="1:7" s="103" customFormat="1" ht="16.5" customHeight="1">
      <c r="A26" s="93" t="s">
        <v>654</v>
      </c>
      <c r="B26" s="102"/>
      <c r="G26" s="104" t="s">
        <v>86</v>
      </c>
    </row>
  </sheetData>
  <mergeCells count="4">
    <mergeCell ref="G2:M2"/>
    <mergeCell ref="A3:F3"/>
    <mergeCell ref="A2:F2"/>
    <mergeCell ref="G3:M3"/>
  </mergeCells>
  <printOptions/>
  <pageMargins left="1.1811023622047245" right="1.1811023622047245" top="1.5748031496062993" bottom="1.5748031496062993" header="0.5118110236220472" footer="0.9055118110236221"/>
  <pageSetup firstPageNumber="312"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8.xml><?xml version="1.0" encoding="utf-8"?>
<worksheet xmlns="http://schemas.openxmlformats.org/spreadsheetml/2006/main" xmlns:r="http://schemas.openxmlformats.org/officeDocument/2006/relationships">
  <sheetPr>
    <tabColor indexed="29"/>
  </sheetPr>
  <dimension ref="A1:P39"/>
  <sheetViews>
    <sheetView showGridLines="0" zoomScale="120" zoomScaleNormal="120" workbookViewId="0" topLeftCell="A1">
      <selection activeCell="A1" sqref="A1"/>
    </sheetView>
  </sheetViews>
  <sheetFormatPr defaultColWidth="9.00390625" defaultRowHeight="16.5"/>
  <cols>
    <col min="1" max="1" width="11.125" style="14" customWidth="1"/>
    <col min="2" max="2" width="14.125" style="14" customWidth="1"/>
    <col min="3" max="3" width="8.125" style="14" customWidth="1"/>
    <col min="4" max="4" width="9.125" style="14" customWidth="1"/>
    <col min="5" max="5" width="8.375" style="14" customWidth="1"/>
    <col min="6" max="6" width="8.125" style="14" customWidth="1"/>
    <col min="7" max="7" width="7.875" style="14" customWidth="1"/>
    <col min="8" max="8" width="8.375" style="14" customWidth="1"/>
    <col min="9" max="9" width="8.625" style="14" customWidth="1"/>
    <col min="10" max="12" width="9.375" style="14" customWidth="1"/>
    <col min="13" max="13" width="10.125" style="14" customWidth="1"/>
    <col min="14" max="14" width="9.625" style="14" customWidth="1"/>
    <col min="15" max="16" width="9.375" style="14" customWidth="1"/>
    <col min="17" max="16384" width="9.00390625" style="14" customWidth="1"/>
  </cols>
  <sheetData>
    <row r="1" spans="1:16" s="15" customFormat="1" ht="19.5" customHeight="1">
      <c r="A1" s="12" t="s">
        <v>731</v>
      </c>
      <c r="B1" s="27"/>
      <c r="C1" s="27"/>
      <c r="P1" s="53" t="s">
        <v>732</v>
      </c>
    </row>
    <row r="2" spans="1:16" s="17" customFormat="1" ht="19.5" customHeight="1">
      <c r="A2" s="442" t="s">
        <v>119</v>
      </c>
      <c r="B2" s="441"/>
      <c r="C2" s="441"/>
      <c r="D2" s="441"/>
      <c r="E2" s="441"/>
      <c r="F2" s="441"/>
      <c r="G2" s="441"/>
      <c r="H2" s="441"/>
      <c r="I2" s="441" t="s">
        <v>120</v>
      </c>
      <c r="J2" s="441"/>
      <c r="K2" s="441"/>
      <c r="L2" s="441"/>
      <c r="M2" s="441"/>
      <c r="N2" s="441"/>
      <c r="O2" s="441"/>
      <c r="P2" s="441"/>
    </row>
    <row r="3" spans="1:16" s="17" customFormat="1" ht="14.25" customHeight="1">
      <c r="A3" s="442" t="s">
        <v>121</v>
      </c>
      <c r="B3" s="441"/>
      <c r="C3" s="441"/>
      <c r="D3" s="441"/>
      <c r="E3" s="441"/>
      <c r="F3" s="441"/>
      <c r="G3" s="441"/>
      <c r="H3" s="441"/>
      <c r="I3" s="441" t="s">
        <v>122</v>
      </c>
      <c r="J3" s="441"/>
      <c r="K3" s="441"/>
      <c r="L3" s="441"/>
      <c r="M3" s="441"/>
      <c r="N3" s="441"/>
      <c r="O3" s="441"/>
      <c r="P3" s="441"/>
    </row>
    <row r="4" spans="1:16" s="57" customFormat="1" ht="15" customHeight="1" thickBot="1">
      <c r="A4" s="213"/>
      <c r="B4" s="213"/>
      <c r="C4" s="60"/>
      <c r="D4" s="60"/>
      <c r="E4" s="60"/>
      <c r="F4" s="60"/>
      <c r="G4" s="60"/>
      <c r="H4" s="61" t="s">
        <v>644</v>
      </c>
      <c r="I4" s="60"/>
      <c r="J4" s="60"/>
      <c r="K4" s="60"/>
      <c r="M4" s="214"/>
      <c r="N4" s="214"/>
      <c r="O4" s="214"/>
      <c r="P4" s="71" t="s">
        <v>125</v>
      </c>
    </row>
    <row r="5" spans="1:16" s="57" customFormat="1" ht="27" customHeight="1">
      <c r="A5" s="454" t="s">
        <v>645</v>
      </c>
      <c r="B5" s="455"/>
      <c r="C5" s="315" t="s">
        <v>70</v>
      </c>
      <c r="D5" s="250" t="s">
        <v>88</v>
      </c>
      <c r="E5" s="251" t="s">
        <v>89</v>
      </c>
      <c r="F5" s="251" t="s">
        <v>90</v>
      </c>
      <c r="G5" s="251" t="s">
        <v>91</v>
      </c>
      <c r="H5" s="316" t="s">
        <v>92</v>
      </c>
      <c r="I5" s="250" t="s">
        <v>93</v>
      </c>
      <c r="J5" s="316" t="s">
        <v>94</v>
      </c>
      <c r="K5" s="251" t="s">
        <v>95</v>
      </c>
      <c r="L5" s="251" t="s">
        <v>96</v>
      </c>
      <c r="M5" s="251" t="s">
        <v>97</v>
      </c>
      <c r="N5" s="251" t="s">
        <v>98</v>
      </c>
      <c r="O5" s="251" t="s">
        <v>99</v>
      </c>
      <c r="P5" s="253" t="s">
        <v>100</v>
      </c>
    </row>
    <row r="6" spans="1:16" s="62" customFormat="1" ht="39.75" customHeight="1" thickBot="1">
      <c r="A6" s="452" t="s">
        <v>552</v>
      </c>
      <c r="B6" s="453"/>
      <c r="C6" s="64" t="s">
        <v>101</v>
      </c>
      <c r="D6" s="64" t="s">
        <v>102</v>
      </c>
      <c r="E6" s="65" t="s">
        <v>103</v>
      </c>
      <c r="F6" s="65" t="s">
        <v>104</v>
      </c>
      <c r="G6" s="65" t="s">
        <v>105</v>
      </c>
      <c r="H6" s="65" t="s">
        <v>106</v>
      </c>
      <c r="I6" s="64" t="s">
        <v>107</v>
      </c>
      <c r="J6" s="65" t="s">
        <v>108</v>
      </c>
      <c r="K6" s="65" t="s">
        <v>109</v>
      </c>
      <c r="L6" s="65" t="s">
        <v>110</v>
      </c>
      <c r="M6" s="65" t="s">
        <v>111</v>
      </c>
      <c r="N6" s="65" t="s">
        <v>112</v>
      </c>
      <c r="O6" s="65" t="s">
        <v>113</v>
      </c>
      <c r="P6" s="66" t="s">
        <v>114</v>
      </c>
    </row>
    <row r="7" spans="1:16" s="6" customFormat="1" ht="16.5" customHeight="1">
      <c r="A7" s="317" t="s">
        <v>115</v>
      </c>
      <c r="B7" s="375" t="s">
        <v>116</v>
      </c>
      <c r="C7" s="3">
        <v>11162091</v>
      </c>
      <c r="D7" s="4">
        <v>158357</v>
      </c>
      <c r="E7" s="4">
        <v>986478</v>
      </c>
      <c r="F7" s="4">
        <v>593358</v>
      </c>
      <c r="G7" s="4">
        <v>84017</v>
      </c>
      <c r="H7" s="4">
        <v>291891</v>
      </c>
      <c r="I7" s="311" t="s">
        <v>117</v>
      </c>
      <c r="J7" s="4">
        <v>57532</v>
      </c>
      <c r="K7" s="4">
        <v>566827</v>
      </c>
      <c r="L7" s="4">
        <v>203771</v>
      </c>
      <c r="M7" s="4">
        <v>2642205</v>
      </c>
      <c r="N7" s="4">
        <v>1581353</v>
      </c>
      <c r="O7" s="4">
        <v>111672</v>
      </c>
      <c r="P7" s="5">
        <v>197162</v>
      </c>
    </row>
    <row r="8" spans="1:16" s="6" customFormat="1" ht="22.5" customHeight="1">
      <c r="A8" s="206">
        <v>1995</v>
      </c>
      <c r="B8" s="375" t="s">
        <v>45</v>
      </c>
      <c r="C8" s="231">
        <v>14207578</v>
      </c>
      <c r="D8" s="4">
        <v>248823</v>
      </c>
      <c r="E8" s="4">
        <v>1056153</v>
      </c>
      <c r="F8" s="4">
        <v>725792</v>
      </c>
      <c r="G8" s="4">
        <v>86686</v>
      </c>
      <c r="H8" s="4">
        <v>335425</v>
      </c>
      <c r="I8" s="311" t="s">
        <v>714</v>
      </c>
      <c r="J8" s="55">
        <v>90717</v>
      </c>
      <c r="K8" s="4">
        <v>668800</v>
      </c>
      <c r="L8" s="55">
        <v>231556</v>
      </c>
      <c r="M8" s="55">
        <v>4700699</v>
      </c>
      <c r="N8" s="4">
        <v>1184500</v>
      </c>
      <c r="O8" s="55">
        <v>129716</v>
      </c>
      <c r="P8" s="5">
        <v>205094</v>
      </c>
    </row>
    <row r="9" spans="1:16" s="15" customFormat="1" ht="5.25" customHeight="1">
      <c r="A9" s="206"/>
      <c r="B9" s="52"/>
      <c r="C9" s="231"/>
      <c r="D9" s="4"/>
      <c r="E9" s="4"/>
      <c r="F9" s="4"/>
      <c r="G9" s="4"/>
      <c r="H9" s="4"/>
      <c r="I9" s="230"/>
      <c r="J9" s="55"/>
      <c r="K9" s="4"/>
      <c r="L9" s="55"/>
      <c r="M9" s="55"/>
      <c r="N9" s="4"/>
      <c r="O9" s="55"/>
      <c r="P9" s="5"/>
    </row>
    <row r="10" spans="1:16" s="6" customFormat="1" ht="16.5" customHeight="1">
      <c r="A10" s="206" t="s">
        <v>176</v>
      </c>
      <c r="B10" s="375" t="s">
        <v>44</v>
      </c>
      <c r="C10" s="231">
        <v>12624278</v>
      </c>
      <c r="D10" s="4">
        <v>175463</v>
      </c>
      <c r="E10" s="4">
        <v>1087470</v>
      </c>
      <c r="F10" s="4">
        <v>600167</v>
      </c>
      <c r="G10" s="4">
        <v>85285</v>
      </c>
      <c r="H10" s="4">
        <v>399856</v>
      </c>
      <c r="I10" s="311" t="s">
        <v>714</v>
      </c>
      <c r="J10" s="4">
        <v>71122</v>
      </c>
      <c r="K10" s="4">
        <v>646691</v>
      </c>
      <c r="L10" s="4">
        <v>240595</v>
      </c>
      <c r="M10" s="4">
        <v>4417832</v>
      </c>
      <c r="N10" s="4">
        <v>463083</v>
      </c>
      <c r="O10" s="4">
        <v>172821</v>
      </c>
      <c r="P10" s="5">
        <v>240385</v>
      </c>
    </row>
    <row r="11" spans="1:16" s="25" customFormat="1" ht="22.5" customHeight="1">
      <c r="A11" s="206">
        <v>1996</v>
      </c>
      <c r="B11" s="375" t="s">
        <v>45</v>
      </c>
      <c r="C11" s="3">
        <v>17177950</v>
      </c>
      <c r="D11" s="4">
        <v>204422</v>
      </c>
      <c r="E11" s="4">
        <v>1113289</v>
      </c>
      <c r="F11" s="4">
        <v>811359</v>
      </c>
      <c r="G11" s="4">
        <v>87372</v>
      </c>
      <c r="H11" s="4">
        <v>410739</v>
      </c>
      <c r="I11" s="311" t="s">
        <v>714</v>
      </c>
      <c r="J11" s="4">
        <v>76865</v>
      </c>
      <c r="K11" s="4">
        <v>846262</v>
      </c>
      <c r="L11" s="4">
        <v>252840</v>
      </c>
      <c r="M11" s="4">
        <v>6871760</v>
      </c>
      <c r="N11" s="4">
        <v>601190</v>
      </c>
      <c r="O11" s="4">
        <v>210999</v>
      </c>
      <c r="P11" s="5">
        <v>252286</v>
      </c>
    </row>
    <row r="12" spans="1:16" s="15" customFormat="1" ht="5.25" customHeight="1">
      <c r="A12" s="206"/>
      <c r="B12" s="52"/>
      <c r="C12" s="3"/>
      <c r="D12" s="4"/>
      <c r="E12" s="4"/>
      <c r="F12" s="4"/>
      <c r="G12" s="4"/>
      <c r="H12" s="4"/>
      <c r="I12" s="230"/>
      <c r="J12" s="4"/>
      <c r="K12" s="4"/>
      <c r="L12" s="4"/>
      <c r="M12" s="4"/>
      <c r="N12" s="4"/>
      <c r="O12" s="4"/>
      <c r="P12" s="5"/>
    </row>
    <row r="13" spans="1:16" s="25" customFormat="1" ht="16.5" customHeight="1">
      <c r="A13" s="206" t="s">
        <v>177</v>
      </c>
      <c r="B13" s="375" t="s">
        <v>44</v>
      </c>
      <c r="C13" s="3">
        <v>14237182</v>
      </c>
      <c r="D13" s="4">
        <v>224229</v>
      </c>
      <c r="E13" s="4">
        <v>1099662</v>
      </c>
      <c r="F13" s="4">
        <v>619154</v>
      </c>
      <c r="G13" s="4">
        <v>81479</v>
      </c>
      <c r="H13" s="4">
        <v>571937</v>
      </c>
      <c r="I13" s="311" t="s">
        <v>714</v>
      </c>
      <c r="J13" s="4">
        <v>75831</v>
      </c>
      <c r="K13" s="4">
        <v>671471</v>
      </c>
      <c r="L13" s="4">
        <v>567532</v>
      </c>
      <c r="M13" s="4">
        <v>4616880</v>
      </c>
      <c r="N13" s="4">
        <v>674181</v>
      </c>
      <c r="O13" s="4">
        <v>202589</v>
      </c>
      <c r="P13" s="5">
        <v>286002</v>
      </c>
    </row>
    <row r="14" spans="1:16" s="25" customFormat="1" ht="22.5" customHeight="1">
      <c r="A14" s="206">
        <v>1997</v>
      </c>
      <c r="B14" s="375" t="s">
        <v>45</v>
      </c>
      <c r="C14" s="3">
        <v>15361557</v>
      </c>
      <c r="D14" s="55">
        <v>229272</v>
      </c>
      <c r="E14" s="55">
        <v>1116201</v>
      </c>
      <c r="F14" s="55">
        <v>718881</v>
      </c>
      <c r="G14" s="55">
        <v>92927</v>
      </c>
      <c r="H14" s="4">
        <v>607882</v>
      </c>
      <c r="I14" s="311" t="s">
        <v>714</v>
      </c>
      <c r="J14" s="4">
        <v>85758</v>
      </c>
      <c r="K14" s="4">
        <v>833461</v>
      </c>
      <c r="L14" s="4">
        <v>638218</v>
      </c>
      <c r="M14" s="4">
        <v>4659912</v>
      </c>
      <c r="N14" s="4">
        <v>1087362</v>
      </c>
      <c r="O14" s="4">
        <v>207735</v>
      </c>
      <c r="P14" s="5">
        <v>296146</v>
      </c>
    </row>
    <row r="15" spans="1:16" s="15" customFormat="1" ht="5.25" customHeight="1">
      <c r="A15" s="206"/>
      <c r="B15" s="52"/>
      <c r="C15" s="3"/>
      <c r="D15" s="55"/>
      <c r="E15" s="55"/>
      <c r="F15" s="55"/>
      <c r="G15" s="55"/>
      <c r="H15" s="4"/>
      <c r="I15" s="230"/>
      <c r="J15" s="4"/>
      <c r="K15" s="4"/>
      <c r="L15" s="4"/>
      <c r="M15" s="4"/>
      <c r="N15" s="4"/>
      <c r="O15" s="4"/>
      <c r="P15" s="5"/>
    </row>
    <row r="16" spans="1:16" s="25" customFormat="1" ht="16.5" customHeight="1">
      <c r="A16" s="206" t="s">
        <v>63</v>
      </c>
      <c r="B16" s="375" t="s">
        <v>44</v>
      </c>
      <c r="C16" s="3">
        <v>13939041</v>
      </c>
      <c r="D16" s="4">
        <v>203256</v>
      </c>
      <c r="E16" s="4">
        <v>1153128</v>
      </c>
      <c r="F16" s="4">
        <v>740624</v>
      </c>
      <c r="G16" s="4">
        <v>95591</v>
      </c>
      <c r="H16" s="4">
        <v>483356</v>
      </c>
      <c r="I16" s="311" t="s">
        <v>714</v>
      </c>
      <c r="J16" s="4">
        <v>75804</v>
      </c>
      <c r="K16" s="4">
        <v>674059</v>
      </c>
      <c r="L16" s="4">
        <v>309196</v>
      </c>
      <c r="M16" s="4">
        <v>4060243</v>
      </c>
      <c r="N16" s="4">
        <v>608179</v>
      </c>
      <c r="O16" s="4">
        <v>265327</v>
      </c>
      <c r="P16" s="5">
        <v>296177</v>
      </c>
    </row>
    <row r="17" spans="1:16" s="25" customFormat="1" ht="22.5" customHeight="1">
      <c r="A17" s="206">
        <v>1998</v>
      </c>
      <c r="B17" s="375" t="s">
        <v>45</v>
      </c>
      <c r="C17" s="3">
        <v>14994026</v>
      </c>
      <c r="D17" s="55">
        <v>227060</v>
      </c>
      <c r="E17" s="55">
        <v>1173214</v>
      </c>
      <c r="F17" s="55">
        <v>840319</v>
      </c>
      <c r="G17" s="55">
        <v>101868</v>
      </c>
      <c r="H17" s="4">
        <v>537674</v>
      </c>
      <c r="I17" s="311" t="s">
        <v>714</v>
      </c>
      <c r="J17" s="4">
        <v>90234</v>
      </c>
      <c r="K17" s="4">
        <v>564343</v>
      </c>
      <c r="L17" s="4">
        <v>335680</v>
      </c>
      <c r="M17" s="4">
        <v>3904401</v>
      </c>
      <c r="N17" s="4">
        <v>673362</v>
      </c>
      <c r="O17" s="4">
        <v>233927</v>
      </c>
      <c r="P17" s="5">
        <v>346127</v>
      </c>
    </row>
    <row r="18" spans="1:16" s="15" customFormat="1" ht="5.25" customHeight="1">
      <c r="A18" s="206"/>
      <c r="B18" s="52"/>
      <c r="C18" s="3"/>
      <c r="D18" s="55"/>
      <c r="E18" s="55"/>
      <c r="F18" s="55"/>
      <c r="G18" s="55"/>
      <c r="H18" s="4"/>
      <c r="I18" s="230"/>
      <c r="J18" s="4"/>
      <c r="K18" s="4"/>
      <c r="L18" s="4"/>
      <c r="M18" s="4"/>
      <c r="N18" s="4"/>
      <c r="O18" s="4"/>
      <c r="P18" s="5"/>
    </row>
    <row r="19" spans="1:16" s="25" customFormat="1" ht="16.5" customHeight="1">
      <c r="A19" s="206" t="s">
        <v>179</v>
      </c>
      <c r="B19" s="375" t="s">
        <v>44</v>
      </c>
      <c r="C19" s="3">
        <v>14730929</v>
      </c>
      <c r="D19" s="4">
        <v>245610</v>
      </c>
      <c r="E19" s="4">
        <v>1241539</v>
      </c>
      <c r="F19" s="4">
        <v>883947</v>
      </c>
      <c r="G19" s="4">
        <v>87793</v>
      </c>
      <c r="H19" s="4">
        <v>408829</v>
      </c>
      <c r="I19" s="311" t="s">
        <v>714</v>
      </c>
      <c r="J19" s="4">
        <v>95330</v>
      </c>
      <c r="K19" s="4">
        <v>982974</v>
      </c>
      <c r="L19" s="4">
        <v>454929</v>
      </c>
      <c r="M19" s="4">
        <v>3221860</v>
      </c>
      <c r="N19" s="4">
        <v>367970</v>
      </c>
      <c r="O19" s="4">
        <v>6457</v>
      </c>
      <c r="P19" s="5">
        <v>550088</v>
      </c>
    </row>
    <row r="20" spans="1:16" s="25" customFormat="1" ht="22.5" customHeight="1">
      <c r="A20" s="206">
        <v>1999</v>
      </c>
      <c r="B20" s="375" t="s">
        <v>45</v>
      </c>
      <c r="C20" s="3">
        <v>17547558</v>
      </c>
      <c r="D20" s="4">
        <v>253544</v>
      </c>
      <c r="E20" s="4">
        <v>1317341</v>
      </c>
      <c r="F20" s="4">
        <v>965853</v>
      </c>
      <c r="G20" s="4">
        <v>89770</v>
      </c>
      <c r="H20" s="4">
        <v>486706</v>
      </c>
      <c r="I20" s="311" t="s">
        <v>714</v>
      </c>
      <c r="J20" s="4">
        <v>130772</v>
      </c>
      <c r="K20" s="4">
        <v>899452</v>
      </c>
      <c r="L20" s="4">
        <v>501851</v>
      </c>
      <c r="M20" s="4">
        <v>4487923</v>
      </c>
      <c r="N20" s="4">
        <v>541717</v>
      </c>
      <c r="O20" s="4">
        <v>249556</v>
      </c>
      <c r="P20" s="5">
        <v>922696</v>
      </c>
    </row>
    <row r="21" spans="1:16" s="15" customFormat="1" ht="5.25" customHeight="1">
      <c r="A21" s="206"/>
      <c r="B21" s="52"/>
      <c r="C21" s="3"/>
      <c r="D21" s="4"/>
      <c r="E21" s="4"/>
      <c r="F21" s="4"/>
      <c r="G21" s="4"/>
      <c r="H21" s="4"/>
      <c r="I21" s="230"/>
      <c r="J21" s="4"/>
      <c r="K21" s="4"/>
      <c r="L21" s="4"/>
      <c r="M21" s="4"/>
      <c r="N21" s="4"/>
      <c r="O21" s="4"/>
      <c r="P21" s="5"/>
    </row>
    <row r="22" spans="1:16" s="25" customFormat="1" ht="16.5" customHeight="1">
      <c r="A22" s="450" t="s">
        <v>118</v>
      </c>
      <c r="B22" s="375" t="s">
        <v>44</v>
      </c>
      <c r="C22" s="3">
        <v>22170006</v>
      </c>
      <c r="D22" s="4">
        <v>428192</v>
      </c>
      <c r="E22" s="4">
        <v>1907342</v>
      </c>
      <c r="F22" s="4">
        <v>1182937</v>
      </c>
      <c r="G22" s="4">
        <v>124171</v>
      </c>
      <c r="H22" s="4">
        <v>630814</v>
      </c>
      <c r="I22" s="311" t="s">
        <v>714</v>
      </c>
      <c r="J22" s="4">
        <v>135911</v>
      </c>
      <c r="K22" s="4">
        <v>913831</v>
      </c>
      <c r="L22" s="4">
        <v>487895</v>
      </c>
      <c r="M22" s="4">
        <v>5192095</v>
      </c>
      <c r="N22" s="4">
        <v>951013</v>
      </c>
      <c r="O22" s="4">
        <v>2744</v>
      </c>
      <c r="P22" s="5">
        <v>1390530</v>
      </c>
    </row>
    <row r="23" spans="1:16" s="25" customFormat="1" ht="22.5" customHeight="1">
      <c r="A23" s="451"/>
      <c r="B23" s="375" t="s">
        <v>45</v>
      </c>
      <c r="C23" s="3">
        <v>26312296</v>
      </c>
      <c r="D23" s="4">
        <v>482175</v>
      </c>
      <c r="E23" s="4">
        <v>1964327</v>
      </c>
      <c r="F23" s="4">
        <v>1282607</v>
      </c>
      <c r="G23" s="4">
        <v>124411</v>
      </c>
      <c r="H23" s="4">
        <v>785433</v>
      </c>
      <c r="I23" s="311" t="s">
        <v>714</v>
      </c>
      <c r="J23" s="4">
        <v>142362</v>
      </c>
      <c r="K23" s="4">
        <v>995336</v>
      </c>
      <c r="L23" s="4">
        <v>525459</v>
      </c>
      <c r="M23" s="4">
        <v>7637969</v>
      </c>
      <c r="N23" s="4">
        <v>1213297</v>
      </c>
      <c r="O23" s="4">
        <v>27567</v>
      </c>
      <c r="P23" s="5">
        <v>1338518</v>
      </c>
    </row>
    <row r="24" spans="1:16" s="15" customFormat="1" ht="5.25" customHeight="1">
      <c r="A24" s="206"/>
      <c r="B24" s="52"/>
      <c r="C24" s="3"/>
      <c r="D24" s="4"/>
      <c r="E24" s="4"/>
      <c r="F24" s="4"/>
      <c r="G24" s="4"/>
      <c r="H24" s="4"/>
      <c r="I24" s="230"/>
      <c r="J24" s="4"/>
      <c r="K24" s="4"/>
      <c r="L24" s="4"/>
      <c r="M24" s="4"/>
      <c r="N24" s="4"/>
      <c r="O24" s="4"/>
      <c r="P24" s="5"/>
    </row>
    <row r="25" spans="1:16" s="25" customFormat="1" ht="16.5" customHeight="1">
      <c r="A25" s="206" t="s">
        <v>65</v>
      </c>
      <c r="B25" s="375" t="s">
        <v>44</v>
      </c>
      <c r="C25" s="3">
        <v>17180131</v>
      </c>
      <c r="D25" s="4">
        <v>385860</v>
      </c>
      <c r="E25" s="4">
        <v>1446791</v>
      </c>
      <c r="F25" s="4">
        <v>899624</v>
      </c>
      <c r="G25" s="4">
        <v>85097</v>
      </c>
      <c r="H25" s="4">
        <v>564875</v>
      </c>
      <c r="I25" s="311" t="s">
        <v>714</v>
      </c>
      <c r="J25" s="4">
        <v>107015</v>
      </c>
      <c r="K25" s="4">
        <v>960282</v>
      </c>
      <c r="L25" s="4">
        <v>359939</v>
      </c>
      <c r="M25" s="4">
        <v>3549871</v>
      </c>
      <c r="N25" s="4">
        <v>940697</v>
      </c>
      <c r="O25" s="4">
        <v>3414</v>
      </c>
      <c r="P25" s="5">
        <v>970551</v>
      </c>
    </row>
    <row r="26" spans="1:16" s="25" customFormat="1" ht="22.5" customHeight="1">
      <c r="A26" s="206">
        <v>2001</v>
      </c>
      <c r="B26" s="375" t="s">
        <v>45</v>
      </c>
      <c r="C26" s="3">
        <v>19530064</v>
      </c>
      <c r="D26" s="4">
        <v>389893</v>
      </c>
      <c r="E26" s="4">
        <v>1475874</v>
      </c>
      <c r="F26" s="4">
        <v>1001585</v>
      </c>
      <c r="G26" s="4">
        <v>95125</v>
      </c>
      <c r="H26" s="4">
        <v>692107</v>
      </c>
      <c r="I26" s="311" t="s">
        <v>714</v>
      </c>
      <c r="J26" s="4">
        <v>119864</v>
      </c>
      <c r="K26" s="4">
        <v>1201983</v>
      </c>
      <c r="L26" s="4">
        <v>396364</v>
      </c>
      <c r="M26" s="4">
        <v>5001704</v>
      </c>
      <c r="N26" s="4">
        <v>1257850</v>
      </c>
      <c r="O26" s="4">
        <v>3414</v>
      </c>
      <c r="P26" s="5">
        <v>958075</v>
      </c>
    </row>
    <row r="27" spans="1:16" s="15" customFormat="1" ht="5.25" customHeight="1">
      <c r="A27" s="206"/>
      <c r="B27" s="52"/>
      <c r="C27" s="3"/>
      <c r="D27" s="4"/>
      <c r="E27" s="4"/>
      <c r="F27" s="4"/>
      <c r="G27" s="4"/>
      <c r="H27" s="4"/>
      <c r="I27" s="230"/>
      <c r="J27" s="4"/>
      <c r="K27" s="4"/>
      <c r="L27" s="4"/>
      <c r="M27" s="4"/>
      <c r="N27" s="4"/>
      <c r="O27" s="4"/>
      <c r="P27" s="5"/>
    </row>
    <row r="28" spans="1:16" s="25" customFormat="1" ht="16.5" customHeight="1">
      <c r="A28" s="206" t="s">
        <v>181</v>
      </c>
      <c r="B28" s="375" t="s">
        <v>44</v>
      </c>
      <c r="C28" s="3">
        <v>14161093</v>
      </c>
      <c r="D28" s="4">
        <v>362085</v>
      </c>
      <c r="E28" s="4">
        <v>1357410</v>
      </c>
      <c r="F28" s="4">
        <v>1157900</v>
      </c>
      <c r="G28" s="4">
        <v>83503</v>
      </c>
      <c r="H28" s="4">
        <v>387425</v>
      </c>
      <c r="I28" s="311" t="s">
        <v>714</v>
      </c>
      <c r="J28" s="4">
        <v>100738</v>
      </c>
      <c r="K28" s="4">
        <v>557368</v>
      </c>
      <c r="L28" s="4">
        <v>421197</v>
      </c>
      <c r="M28" s="4">
        <v>3292231</v>
      </c>
      <c r="N28" s="4">
        <v>578872</v>
      </c>
      <c r="O28" s="4">
        <v>1825</v>
      </c>
      <c r="P28" s="5">
        <v>759480</v>
      </c>
    </row>
    <row r="29" spans="1:16" s="25" customFormat="1" ht="22.5" customHeight="1">
      <c r="A29" s="206">
        <v>2002</v>
      </c>
      <c r="B29" s="375" t="s">
        <v>45</v>
      </c>
      <c r="C29" s="3">
        <v>17168185</v>
      </c>
      <c r="D29" s="4">
        <v>375272</v>
      </c>
      <c r="E29" s="4">
        <v>1425082</v>
      </c>
      <c r="F29" s="4">
        <v>1170019</v>
      </c>
      <c r="G29" s="4">
        <v>87971</v>
      </c>
      <c r="H29" s="4">
        <v>552184</v>
      </c>
      <c r="I29" s="311" t="s">
        <v>714</v>
      </c>
      <c r="J29" s="4">
        <v>123869</v>
      </c>
      <c r="K29" s="4">
        <v>736348</v>
      </c>
      <c r="L29" s="4">
        <v>429343</v>
      </c>
      <c r="M29" s="4">
        <v>5132916</v>
      </c>
      <c r="N29" s="4">
        <v>873927</v>
      </c>
      <c r="O29" s="4">
        <v>1825</v>
      </c>
      <c r="P29" s="5">
        <v>745645</v>
      </c>
    </row>
    <row r="30" spans="1:16" s="15" customFormat="1" ht="5.25" customHeight="1">
      <c r="A30" s="206"/>
      <c r="B30" s="52"/>
      <c r="C30" s="3"/>
      <c r="D30" s="4"/>
      <c r="E30" s="4"/>
      <c r="F30" s="4"/>
      <c r="G30" s="4"/>
      <c r="H30" s="4"/>
      <c r="I30" s="230"/>
      <c r="J30" s="4"/>
      <c r="K30" s="4"/>
      <c r="L30" s="4"/>
      <c r="M30" s="4"/>
      <c r="N30" s="4"/>
      <c r="O30" s="4"/>
      <c r="P30" s="5"/>
    </row>
    <row r="31" spans="1:16" s="25" customFormat="1" ht="16.5" customHeight="1">
      <c r="A31" s="206" t="s">
        <v>182</v>
      </c>
      <c r="B31" s="375" t="s">
        <v>44</v>
      </c>
      <c r="C31" s="3">
        <v>14074107</v>
      </c>
      <c r="D31" s="4">
        <v>474104</v>
      </c>
      <c r="E31" s="4">
        <v>1442637</v>
      </c>
      <c r="F31" s="4">
        <v>873560</v>
      </c>
      <c r="G31" s="4">
        <v>78696</v>
      </c>
      <c r="H31" s="4">
        <v>475946</v>
      </c>
      <c r="I31" s="311" t="s">
        <v>714</v>
      </c>
      <c r="J31" s="4">
        <v>110531</v>
      </c>
      <c r="K31" s="4">
        <v>596394</v>
      </c>
      <c r="L31" s="4">
        <v>382828</v>
      </c>
      <c r="M31" s="4">
        <v>3101375</v>
      </c>
      <c r="N31" s="4">
        <v>605349</v>
      </c>
      <c r="O31" s="4">
        <v>1273</v>
      </c>
      <c r="P31" s="5">
        <v>572182</v>
      </c>
    </row>
    <row r="32" spans="1:16" s="25" customFormat="1" ht="22.5" customHeight="1">
      <c r="A32" s="206">
        <v>2003</v>
      </c>
      <c r="B32" s="375" t="s">
        <v>45</v>
      </c>
      <c r="C32" s="3">
        <v>14761905</v>
      </c>
      <c r="D32" s="4">
        <v>477860</v>
      </c>
      <c r="E32" s="4">
        <v>1460113</v>
      </c>
      <c r="F32" s="4">
        <v>914303</v>
      </c>
      <c r="G32" s="4">
        <v>78855</v>
      </c>
      <c r="H32" s="4">
        <v>517247</v>
      </c>
      <c r="I32" s="311" t="s">
        <v>714</v>
      </c>
      <c r="J32" s="4">
        <v>147656</v>
      </c>
      <c r="K32" s="4">
        <v>616944</v>
      </c>
      <c r="L32" s="4">
        <v>405227</v>
      </c>
      <c r="M32" s="4">
        <v>3315218</v>
      </c>
      <c r="N32" s="4">
        <v>771150</v>
      </c>
      <c r="O32" s="4">
        <v>1273</v>
      </c>
      <c r="P32" s="5">
        <v>586327</v>
      </c>
    </row>
    <row r="33" spans="1:16" s="15" customFormat="1" ht="5.25" customHeight="1">
      <c r="A33" s="206"/>
      <c r="B33" s="52"/>
      <c r="C33" s="3"/>
      <c r="D33" s="4"/>
      <c r="E33" s="4"/>
      <c r="F33" s="4"/>
      <c r="G33" s="4"/>
      <c r="H33" s="4"/>
      <c r="I33" s="230"/>
      <c r="J33" s="4"/>
      <c r="K33" s="4"/>
      <c r="L33" s="4"/>
      <c r="M33" s="4"/>
      <c r="N33" s="4"/>
      <c r="O33" s="4"/>
      <c r="P33" s="5"/>
    </row>
    <row r="34" spans="1:16" s="25" customFormat="1" ht="16.5" customHeight="1">
      <c r="A34" s="206" t="s">
        <v>66</v>
      </c>
      <c r="B34" s="375" t="s">
        <v>44</v>
      </c>
      <c r="C34" s="3">
        <v>13725508</v>
      </c>
      <c r="D34" s="4">
        <v>379070</v>
      </c>
      <c r="E34" s="4">
        <v>1461151</v>
      </c>
      <c r="F34" s="4">
        <v>1035960</v>
      </c>
      <c r="G34" s="4">
        <v>69346</v>
      </c>
      <c r="H34" s="4">
        <v>451350</v>
      </c>
      <c r="I34" s="311" t="s">
        <v>733</v>
      </c>
      <c r="J34" s="4">
        <v>163814</v>
      </c>
      <c r="K34" s="4">
        <v>613079</v>
      </c>
      <c r="L34" s="4">
        <v>352794</v>
      </c>
      <c r="M34" s="4">
        <v>2967247</v>
      </c>
      <c r="N34" s="4">
        <v>683801</v>
      </c>
      <c r="O34" s="4">
        <v>1127</v>
      </c>
      <c r="P34" s="5">
        <v>537815</v>
      </c>
    </row>
    <row r="35" spans="1:16" s="25" customFormat="1" ht="22.5" customHeight="1">
      <c r="A35" s="206">
        <v>2004</v>
      </c>
      <c r="B35" s="375" t="s">
        <v>45</v>
      </c>
      <c r="C35" s="3">
        <v>13725508</v>
      </c>
      <c r="D35" s="4">
        <v>379070</v>
      </c>
      <c r="E35" s="4">
        <v>1461151</v>
      </c>
      <c r="F35" s="4">
        <v>1035960</v>
      </c>
      <c r="G35" s="4">
        <v>69346</v>
      </c>
      <c r="H35" s="4">
        <v>451350</v>
      </c>
      <c r="I35" s="311" t="s">
        <v>733</v>
      </c>
      <c r="J35" s="4">
        <v>163814</v>
      </c>
      <c r="K35" s="4">
        <v>613079</v>
      </c>
      <c r="L35" s="4">
        <v>352794</v>
      </c>
      <c r="M35" s="4">
        <v>2967247</v>
      </c>
      <c r="N35" s="4">
        <v>683801</v>
      </c>
      <c r="O35" s="4">
        <v>1127</v>
      </c>
      <c r="P35" s="5">
        <v>537815</v>
      </c>
    </row>
    <row r="36" spans="1:16" s="15" customFormat="1" ht="5.25" customHeight="1">
      <c r="A36" s="206"/>
      <c r="B36" s="52"/>
      <c r="C36" s="3"/>
      <c r="D36" s="4"/>
      <c r="E36" s="4"/>
      <c r="F36" s="4"/>
      <c r="G36" s="4"/>
      <c r="H36" s="4"/>
      <c r="I36" s="230"/>
      <c r="J36" s="4"/>
      <c r="K36" s="4"/>
      <c r="L36" s="4"/>
      <c r="M36" s="4"/>
      <c r="N36" s="4"/>
      <c r="O36" s="4"/>
      <c r="P36" s="5"/>
    </row>
    <row r="37" spans="1:16" s="25" customFormat="1" ht="16.5" customHeight="1">
      <c r="A37" s="206" t="s">
        <v>67</v>
      </c>
      <c r="B37" s="375" t="s">
        <v>44</v>
      </c>
      <c r="C37" s="3">
        <f>SUM(D37:P37)+SUM('各鄉鎮市歲出預決算-按政事別分(預算)續1'!C37:O37)</f>
        <v>14111703</v>
      </c>
      <c r="D37" s="4">
        <v>380766</v>
      </c>
      <c r="E37" s="4">
        <v>1486839</v>
      </c>
      <c r="F37" s="4">
        <v>1204321</v>
      </c>
      <c r="G37" s="4">
        <v>59995</v>
      </c>
      <c r="H37" s="4">
        <v>508456</v>
      </c>
      <c r="I37" s="311" t="s">
        <v>733</v>
      </c>
      <c r="J37" s="4">
        <v>179884</v>
      </c>
      <c r="K37" s="4">
        <v>607541</v>
      </c>
      <c r="L37" s="4">
        <v>394393</v>
      </c>
      <c r="M37" s="4">
        <v>2161541</v>
      </c>
      <c r="N37" s="4">
        <v>681455</v>
      </c>
      <c r="O37" s="4">
        <v>1010</v>
      </c>
      <c r="P37" s="5">
        <v>702820</v>
      </c>
    </row>
    <row r="38" spans="1:16" s="25" customFormat="1" ht="22.5" customHeight="1" thickBot="1">
      <c r="A38" s="71">
        <v>2005</v>
      </c>
      <c r="B38" s="400" t="s">
        <v>45</v>
      </c>
      <c r="C38" s="8">
        <f>SUM(D38:P38)+SUM('各鄉鎮市歲出預決算-按政事別分(預算)續1'!C38:O38)</f>
        <v>14111703</v>
      </c>
      <c r="D38" s="9">
        <v>380766</v>
      </c>
      <c r="E38" s="9">
        <v>1486839</v>
      </c>
      <c r="F38" s="9">
        <v>1204321</v>
      </c>
      <c r="G38" s="9">
        <v>59995</v>
      </c>
      <c r="H38" s="9">
        <v>508456</v>
      </c>
      <c r="I38" s="329" t="s">
        <v>733</v>
      </c>
      <c r="J38" s="9">
        <v>179884</v>
      </c>
      <c r="K38" s="9">
        <v>607541</v>
      </c>
      <c r="L38" s="9">
        <v>394393</v>
      </c>
      <c r="M38" s="9">
        <v>2161541</v>
      </c>
      <c r="N38" s="9">
        <v>681455</v>
      </c>
      <c r="O38" s="9">
        <v>1010</v>
      </c>
      <c r="P38" s="29">
        <v>702820</v>
      </c>
    </row>
    <row r="39" spans="1:9" s="402" customFormat="1" ht="15" customHeight="1">
      <c r="A39" s="401" t="s">
        <v>123</v>
      </c>
      <c r="I39" s="403" t="s">
        <v>124</v>
      </c>
    </row>
  </sheetData>
  <mergeCells count="7">
    <mergeCell ref="I2:P2"/>
    <mergeCell ref="A3:H3"/>
    <mergeCell ref="I3:P3"/>
    <mergeCell ref="A22:A23"/>
    <mergeCell ref="A5:B5"/>
    <mergeCell ref="A6:B6"/>
    <mergeCell ref="A2:H2"/>
  </mergeCells>
  <printOptions/>
  <pageMargins left="1.1614173228346458" right="1.1614173228346458" top="1.5748031496062993" bottom="1.5748031496062993" header="0.5118110236220472" footer="0.9055118110236221"/>
  <pageSetup firstPageNumber="314"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9.xml><?xml version="1.0" encoding="utf-8"?>
<worksheet xmlns="http://schemas.openxmlformats.org/spreadsheetml/2006/main" xmlns:r="http://schemas.openxmlformats.org/officeDocument/2006/relationships">
  <sheetPr>
    <tabColor indexed="29"/>
  </sheetPr>
  <dimension ref="A1:O39"/>
  <sheetViews>
    <sheetView showGridLines="0" zoomScale="120" zoomScaleNormal="120" workbookViewId="0" topLeftCell="A1">
      <selection activeCell="A1" sqref="A1"/>
    </sheetView>
  </sheetViews>
  <sheetFormatPr defaultColWidth="9.00390625" defaultRowHeight="16.5"/>
  <cols>
    <col min="1" max="1" width="11.125" style="14" customWidth="1"/>
    <col min="2" max="2" width="14.25390625" style="14" customWidth="1"/>
    <col min="3" max="3" width="10.625" style="14" customWidth="1"/>
    <col min="4" max="4" width="10.125" style="14" customWidth="1"/>
    <col min="5" max="6" width="9.625" style="14" customWidth="1"/>
    <col min="7" max="7" width="10.625" style="14" customWidth="1"/>
    <col min="8" max="8" width="9.00390625" style="14" customWidth="1"/>
    <col min="9" max="9" width="8.625" style="14" customWidth="1"/>
    <col min="10" max="10" width="9.375" style="14" customWidth="1"/>
    <col min="11" max="11" width="8.625" style="14" customWidth="1"/>
    <col min="12" max="13" width="11.625" style="14" customWidth="1"/>
    <col min="14" max="15" width="8.625" style="14" customWidth="1"/>
    <col min="16" max="16384" width="9.00390625" style="14" customWidth="1"/>
  </cols>
  <sheetData>
    <row r="1" spans="1:15" s="15" customFormat="1" ht="19.5" customHeight="1">
      <c r="A1" s="12" t="s">
        <v>731</v>
      </c>
      <c r="B1" s="27"/>
      <c r="C1" s="27"/>
      <c r="O1" s="53" t="s">
        <v>732</v>
      </c>
    </row>
    <row r="2" spans="1:15" s="17" customFormat="1" ht="31.5" customHeight="1">
      <c r="A2" s="442" t="s">
        <v>126</v>
      </c>
      <c r="B2" s="441"/>
      <c r="C2" s="441"/>
      <c r="D2" s="441"/>
      <c r="E2" s="441"/>
      <c r="F2" s="441"/>
      <c r="G2" s="441"/>
      <c r="H2" s="449" t="s">
        <v>127</v>
      </c>
      <c r="I2" s="449"/>
      <c r="J2" s="449"/>
      <c r="K2" s="449"/>
      <c r="L2" s="449"/>
      <c r="M2" s="449"/>
      <c r="N2" s="449"/>
      <c r="O2" s="449"/>
    </row>
    <row r="3" spans="1:15" s="17" customFormat="1" ht="14.25" customHeight="1">
      <c r="A3" s="442" t="s">
        <v>606</v>
      </c>
      <c r="B3" s="441"/>
      <c r="C3" s="441"/>
      <c r="D3" s="441"/>
      <c r="E3" s="441"/>
      <c r="F3" s="441"/>
      <c r="G3" s="441"/>
      <c r="H3" s="441" t="s">
        <v>607</v>
      </c>
      <c r="I3" s="441"/>
      <c r="J3" s="441"/>
      <c r="K3" s="441"/>
      <c r="L3" s="441"/>
      <c r="M3" s="441"/>
      <c r="N3" s="441"/>
      <c r="O3" s="441"/>
    </row>
    <row r="4" spans="1:15" s="57" customFormat="1" ht="13.5" customHeight="1" thickBot="1">
      <c r="A4" s="213"/>
      <c r="B4" s="213"/>
      <c r="C4" s="60"/>
      <c r="D4" s="60"/>
      <c r="E4" s="60"/>
      <c r="F4" s="60"/>
      <c r="G4" s="61" t="s">
        <v>644</v>
      </c>
      <c r="I4" s="60"/>
      <c r="J4" s="60"/>
      <c r="K4" s="60"/>
      <c r="M4" s="214"/>
      <c r="N4" s="214"/>
      <c r="O4" s="71" t="s">
        <v>125</v>
      </c>
    </row>
    <row r="5" spans="1:15" s="213" customFormat="1" ht="25.5" customHeight="1">
      <c r="A5" s="454" t="s">
        <v>645</v>
      </c>
      <c r="B5" s="455"/>
      <c r="C5" s="323" t="s">
        <v>539</v>
      </c>
      <c r="D5" s="251" t="s">
        <v>540</v>
      </c>
      <c r="E5" s="251" t="s">
        <v>542</v>
      </c>
      <c r="F5" s="251" t="s">
        <v>541</v>
      </c>
      <c r="G5" s="251" t="s">
        <v>543</v>
      </c>
      <c r="H5" s="250" t="s">
        <v>544</v>
      </c>
      <c r="I5" s="251" t="s">
        <v>545</v>
      </c>
      <c r="J5" s="251" t="s">
        <v>546</v>
      </c>
      <c r="K5" s="251" t="s">
        <v>547</v>
      </c>
      <c r="L5" s="251" t="s">
        <v>548</v>
      </c>
      <c r="M5" s="251" t="s">
        <v>549</v>
      </c>
      <c r="N5" s="251" t="s">
        <v>550</v>
      </c>
      <c r="O5" s="253" t="s">
        <v>551</v>
      </c>
    </row>
    <row r="6" spans="1:15" s="62" customFormat="1" ht="39.75" customHeight="1" thickBot="1">
      <c r="A6" s="452" t="s">
        <v>552</v>
      </c>
      <c r="B6" s="453"/>
      <c r="C6" s="215" t="s">
        <v>553</v>
      </c>
      <c r="D6" s="65" t="s">
        <v>554</v>
      </c>
      <c r="E6" s="65" t="s">
        <v>556</v>
      </c>
      <c r="F6" s="65" t="s">
        <v>555</v>
      </c>
      <c r="G6" s="65" t="s">
        <v>501</v>
      </c>
      <c r="H6" s="64" t="s">
        <v>558</v>
      </c>
      <c r="I6" s="65" t="s">
        <v>502</v>
      </c>
      <c r="J6" s="65" t="s">
        <v>560</v>
      </c>
      <c r="K6" s="65" t="s">
        <v>602</v>
      </c>
      <c r="L6" s="65" t="s">
        <v>603</v>
      </c>
      <c r="M6" s="65" t="s">
        <v>604</v>
      </c>
      <c r="N6" s="65" t="s">
        <v>561</v>
      </c>
      <c r="O6" s="66" t="s">
        <v>562</v>
      </c>
    </row>
    <row r="7" spans="1:15" s="6" customFormat="1" ht="16.5" customHeight="1">
      <c r="A7" s="317" t="s">
        <v>115</v>
      </c>
      <c r="B7" s="375" t="s">
        <v>116</v>
      </c>
      <c r="C7" s="406">
        <v>622908</v>
      </c>
      <c r="D7" s="409" t="s">
        <v>117</v>
      </c>
      <c r="E7" s="406">
        <v>187309</v>
      </c>
      <c r="F7" s="409" t="s">
        <v>117</v>
      </c>
      <c r="G7" s="407">
        <v>2208880</v>
      </c>
      <c r="H7" s="410" t="s">
        <v>117</v>
      </c>
      <c r="I7" s="409" t="s">
        <v>117</v>
      </c>
      <c r="J7" s="407">
        <v>545816</v>
      </c>
      <c r="K7" s="409" t="s">
        <v>117</v>
      </c>
      <c r="L7" s="409" t="s">
        <v>117</v>
      </c>
      <c r="M7" s="409" t="s">
        <v>117</v>
      </c>
      <c r="N7" s="407">
        <v>29000</v>
      </c>
      <c r="O7" s="406">
        <v>93555</v>
      </c>
    </row>
    <row r="8" spans="1:15" s="6" customFormat="1" ht="23.25" customHeight="1">
      <c r="A8" s="206">
        <v>1995</v>
      </c>
      <c r="B8" s="375" t="s">
        <v>45</v>
      </c>
      <c r="C8" s="16">
        <v>747889</v>
      </c>
      <c r="D8" s="308" t="s">
        <v>714</v>
      </c>
      <c r="E8" s="16">
        <v>213007</v>
      </c>
      <c r="F8" s="308" t="s">
        <v>714</v>
      </c>
      <c r="G8" s="4">
        <v>2821055</v>
      </c>
      <c r="H8" s="311" t="s">
        <v>714</v>
      </c>
      <c r="I8" s="308" t="s">
        <v>714</v>
      </c>
      <c r="J8" s="55">
        <v>637762</v>
      </c>
      <c r="K8" s="308" t="s">
        <v>714</v>
      </c>
      <c r="L8" s="308" t="s">
        <v>714</v>
      </c>
      <c r="M8" s="308" t="s">
        <v>714</v>
      </c>
      <c r="N8" s="55">
        <v>29000</v>
      </c>
      <c r="O8" s="16">
        <v>94904</v>
      </c>
    </row>
    <row r="9" spans="1:15" s="15" customFormat="1" ht="6" customHeight="1">
      <c r="A9" s="206"/>
      <c r="B9" s="52"/>
      <c r="C9" s="16"/>
      <c r="D9" s="4"/>
      <c r="E9" s="16"/>
      <c r="F9" s="4"/>
      <c r="G9" s="4"/>
      <c r="H9" s="10"/>
      <c r="I9" s="4"/>
      <c r="J9" s="55"/>
      <c r="K9" s="4"/>
      <c r="L9" s="4"/>
      <c r="M9" s="4"/>
      <c r="N9" s="55"/>
      <c r="O9" s="16"/>
    </row>
    <row r="10" spans="1:15" s="6" customFormat="1" ht="16.5" customHeight="1">
      <c r="A10" s="206" t="s">
        <v>176</v>
      </c>
      <c r="B10" s="375" t="s">
        <v>44</v>
      </c>
      <c r="C10" s="406">
        <v>758245</v>
      </c>
      <c r="D10" s="409" t="s">
        <v>714</v>
      </c>
      <c r="E10" s="406">
        <v>205483</v>
      </c>
      <c r="F10" s="409" t="s">
        <v>714</v>
      </c>
      <c r="G10" s="407">
        <v>2394916</v>
      </c>
      <c r="H10" s="410" t="s">
        <v>714</v>
      </c>
      <c r="I10" s="409" t="s">
        <v>714</v>
      </c>
      <c r="J10" s="407">
        <v>519707</v>
      </c>
      <c r="K10" s="409" t="s">
        <v>714</v>
      </c>
      <c r="L10" s="409" t="s">
        <v>714</v>
      </c>
      <c r="M10" s="409" t="s">
        <v>714</v>
      </c>
      <c r="N10" s="407">
        <v>31413</v>
      </c>
      <c r="O10" s="406">
        <v>113744</v>
      </c>
    </row>
    <row r="11" spans="1:15" s="25" customFormat="1" ht="23.25" customHeight="1">
      <c r="A11" s="206">
        <v>1996</v>
      </c>
      <c r="B11" s="375" t="s">
        <v>45</v>
      </c>
      <c r="C11" s="16">
        <v>864905</v>
      </c>
      <c r="D11" s="308" t="s">
        <v>714</v>
      </c>
      <c r="E11" s="16">
        <v>266982</v>
      </c>
      <c r="F11" s="308" t="s">
        <v>714</v>
      </c>
      <c r="G11" s="4">
        <v>3633759</v>
      </c>
      <c r="H11" s="311" t="s">
        <v>714</v>
      </c>
      <c r="I11" s="308" t="s">
        <v>714</v>
      </c>
      <c r="J11" s="55">
        <v>545381</v>
      </c>
      <c r="K11" s="308" t="s">
        <v>714</v>
      </c>
      <c r="L11" s="308" t="s">
        <v>714</v>
      </c>
      <c r="M11" s="308" t="s">
        <v>714</v>
      </c>
      <c r="N11" s="55">
        <v>16716</v>
      </c>
      <c r="O11" s="16">
        <v>110824</v>
      </c>
    </row>
    <row r="12" spans="1:15" s="15" customFormat="1" ht="6" customHeight="1">
      <c r="A12" s="206"/>
      <c r="B12" s="52"/>
      <c r="C12" s="16"/>
      <c r="D12" s="4"/>
      <c r="E12" s="16"/>
      <c r="F12" s="4"/>
      <c r="G12" s="4"/>
      <c r="H12" s="10"/>
      <c r="I12" s="4"/>
      <c r="J12" s="55"/>
      <c r="K12" s="4"/>
      <c r="L12" s="4"/>
      <c r="M12" s="4"/>
      <c r="N12" s="55"/>
      <c r="O12" s="16"/>
    </row>
    <row r="13" spans="1:15" s="25" customFormat="1" ht="16.5" customHeight="1">
      <c r="A13" s="206" t="s">
        <v>177</v>
      </c>
      <c r="B13" s="375" t="s">
        <v>44</v>
      </c>
      <c r="C13" s="408">
        <v>960006</v>
      </c>
      <c r="D13" s="409" t="s">
        <v>714</v>
      </c>
      <c r="E13" s="408">
        <v>230157</v>
      </c>
      <c r="F13" s="409" t="s">
        <v>714</v>
      </c>
      <c r="G13" s="407">
        <v>2802165</v>
      </c>
      <c r="H13" s="410" t="s">
        <v>714</v>
      </c>
      <c r="I13" s="409" t="s">
        <v>714</v>
      </c>
      <c r="J13" s="407">
        <v>396663</v>
      </c>
      <c r="K13" s="409" t="s">
        <v>714</v>
      </c>
      <c r="L13" s="409" t="s">
        <v>714</v>
      </c>
      <c r="M13" s="409" t="s">
        <v>714</v>
      </c>
      <c r="N13" s="407">
        <v>38100</v>
      </c>
      <c r="O13" s="406">
        <v>119144</v>
      </c>
    </row>
    <row r="14" spans="1:15" s="25" customFormat="1" ht="23.25" customHeight="1">
      <c r="A14" s="206">
        <v>1997</v>
      </c>
      <c r="B14" s="375" t="s">
        <v>45</v>
      </c>
      <c r="C14" s="16">
        <v>1009017</v>
      </c>
      <c r="D14" s="308" t="s">
        <v>714</v>
      </c>
      <c r="E14" s="16">
        <v>257558</v>
      </c>
      <c r="F14" s="308" t="s">
        <v>714</v>
      </c>
      <c r="G14" s="4">
        <v>2984039</v>
      </c>
      <c r="H14" s="311" t="s">
        <v>714</v>
      </c>
      <c r="I14" s="308" t="s">
        <v>714</v>
      </c>
      <c r="J14" s="55">
        <v>396520</v>
      </c>
      <c r="K14" s="308" t="s">
        <v>714</v>
      </c>
      <c r="L14" s="308" t="s">
        <v>714</v>
      </c>
      <c r="M14" s="308" t="s">
        <v>714</v>
      </c>
      <c r="N14" s="55">
        <v>18489</v>
      </c>
      <c r="O14" s="16">
        <v>122179</v>
      </c>
    </row>
    <row r="15" spans="1:15" s="15" customFormat="1" ht="6" customHeight="1">
      <c r="A15" s="206"/>
      <c r="B15" s="52"/>
      <c r="C15" s="16"/>
      <c r="D15" s="4"/>
      <c r="E15" s="16"/>
      <c r="F15" s="4"/>
      <c r="G15" s="4"/>
      <c r="H15" s="10"/>
      <c r="I15" s="4"/>
      <c r="J15" s="55"/>
      <c r="K15" s="4"/>
      <c r="L15" s="4"/>
      <c r="M15" s="4"/>
      <c r="N15" s="55"/>
      <c r="O15" s="16"/>
    </row>
    <row r="16" spans="1:15" s="25" customFormat="1" ht="16.5" customHeight="1">
      <c r="A16" s="206" t="s">
        <v>63</v>
      </c>
      <c r="B16" s="375" t="s">
        <v>44</v>
      </c>
      <c r="C16" s="4">
        <v>1001494</v>
      </c>
      <c r="D16" s="308" t="s">
        <v>714</v>
      </c>
      <c r="E16" s="4">
        <v>210753</v>
      </c>
      <c r="F16" s="308" t="s">
        <v>714</v>
      </c>
      <c r="G16" s="4">
        <v>3177286</v>
      </c>
      <c r="H16" s="311" t="s">
        <v>714</v>
      </c>
      <c r="I16" s="308" t="s">
        <v>714</v>
      </c>
      <c r="J16" s="4">
        <f>303157+82649</f>
        <v>385806</v>
      </c>
      <c r="K16" s="308" t="s">
        <v>714</v>
      </c>
      <c r="L16" s="308" t="s">
        <v>714</v>
      </c>
      <c r="M16" s="308" t="s">
        <v>714</v>
      </c>
      <c r="N16" s="4">
        <v>43200</v>
      </c>
      <c r="O16" s="16">
        <v>155562</v>
      </c>
    </row>
    <row r="17" spans="1:15" s="25" customFormat="1" ht="23.25" customHeight="1">
      <c r="A17" s="206">
        <v>1998</v>
      </c>
      <c r="B17" s="375" t="s">
        <v>45</v>
      </c>
      <c r="C17" s="16">
        <v>1302260</v>
      </c>
      <c r="D17" s="308" t="s">
        <v>714</v>
      </c>
      <c r="E17" s="16">
        <v>353102</v>
      </c>
      <c r="F17" s="308" t="s">
        <v>714</v>
      </c>
      <c r="G17" s="4">
        <v>3748213</v>
      </c>
      <c r="H17" s="311" t="s">
        <v>714</v>
      </c>
      <c r="I17" s="308" t="s">
        <v>714</v>
      </c>
      <c r="J17" s="55">
        <v>361208</v>
      </c>
      <c r="K17" s="308" t="s">
        <v>714</v>
      </c>
      <c r="L17" s="308" t="s">
        <v>714</v>
      </c>
      <c r="M17" s="308" t="s">
        <v>714</v>
      </c>
      <c r="N17" s="55">
        <v>25309</v>
      </c>
      <c r="O17" s="16">
        <v>175725</v>
      </c>
    </row>
    <row r="18" spans="1:15" s="15" customFormat="1" ht="6" customHeight="1">
      <c r="A18" s="206"/>
      <c r="B18" s="52"/>
      <c r="C18" s="16"/>
      <c r="D18" s="4"/>
      <c r="E18" s="16"/>
      <c r="F18" s="4"/>
      <c r="G18" s="4"/>
      <c r="H18" s="10"/>
      <c r="I18" s="4"/>
      <c r="J18" s="55"/>
      <c r="K18" s="4"/>
      <c r="L18" s="4"/>
      <c r="M18" s="4"/>
      <c r="N18" s="55"/>
      <c r="O18" s="16"/>
    </row>
    <row r="19" spans="1:15" s="25" customFormat="1" ht="16.5" customHeight="1">
      <c r="A19" s="206" t="s">
        <v>179</v>
      </c>
      <c r="B19" s="375" t="s">
        <v>44</v>
      </c>
      <c r="C19" s="16">
        <v>1854944</v>
      </c>
      <c r="D19" s="308" t="s">
        <v>714</v>
      </c>
      <c r="E19" s="16">
        <v>203336</v>
      </c>
      <c r="F19" s="308" t="s">
        <v>714</v>
      </c>
      <c r="G19" s="4">
        <v>3957871</v>
      </c>
      <c r="H19" s="311" t="s">
        <v>714</v>
      </c>
      <c r="I19" s="308" t="s">
        <v>714</v>
      </c>
      <c r="J19" s="55">
        <v>62717</v>
      </c>
      <c r="K19" s="308" t="s">
        <v>714</v>
      </c>
      <c r="L19" s="308" t="s">
        <v>714</v>
      </c>
      <c r="M19" s="308" t="s">
        <v>714</v>
      </c>
      <c r="N19" s="55">
        <v>43200</v>
      </c>
      <c r="O19" s="16">
        <v>61535</v>
      </c>
    </row>
    <row r="20" spans="1:15" s="25" customFormat="1" ht="23.25" customHeight="1">
      <c r="A20" s="206">
        <v>1999</v>
      </c>
      <c r="B20" s="375" t="s">
        <v>45</v>
      </c>
      <c r="C20" s="16">
        <v>1954385</v>
      </c>
      <c r="D20" s="308" t="s">
        <v>714</v>
      </c>
      <c r="E20" s="16">
        <v>282900</v>
      </c>
      <c r="F20" s="308" t="s">
        <v>714</v>
      </c>
      <c r="G20" s="4">
        <v>4091368</v>
      </c>
      <c r="H20" s="311" t="s">
        <v>714</v>
      </c>
      <c r="I20" s="308" t="s">
        <v>714</v>
      </c>
      <c r="J20" s="55">
        <v>173206</v>
      </c>
      <c r="K20" s="308" t="s">
        <v>714</v>
      </c>
      <c r="L20" s="308" t="s">
        <v>714</v>
      </c>
      <c r="M20" s="308" t="s">
        <v>714</v>
      </c>
      <c r="N20" s="55">
        <v>43200</v>
      </c>
      <c r="O20" s="16">
        <v>155318</v>
      </c>
    </row>
    <row r="21" spans="1:15" s="15" customFormat="1" ht="6" customHeight="1">
      <c r="A21" s="206"/>
      <c r="B21" s="52"/>
      <c r="C21" s="16"/>
      <c r="D21" s="4"/>
      <c r="E21" s="16"/>
      <c r="F21" s="4"/>
      <c r="G21" s="4"/>
      <c r="H21" s="10"/>
      <c r="I21" s="4"/>
      <c r="J21" s="55"/>
      <c r="K21" s="4"/>
      <c r="L21" s="4"/>
      <c r="M21" s="4"/>
      <c r="N21" s="55"/>
      <c r="O21" s="16"/>
    </row>
    <row r="22" spans="1:15" s="25" customFormat="1" ht="16.5" customHeight="1">
      <c r="A22" s="450" t="s">
        <v>118</v>
      </c>
      <c r="B22" s="375" t="s">
        <v>44</v>
      </c>
      <c r="C22" s="16">
        <v>3297090</v>
      </c>
      <c r="D22" s="308" t="s">
        <v>714</v>
      </c>
      <c r="E22" s="16">
        <v>233849</v>
      </c>
      <c r="F22" s="308" t="s">
        <v>714</v>
      </c>
      <c r="G22" s="4">
        <v>4787900</v>
      </c>
      <c r="H22" s="10">
        <v>349185</v>
      </c>
      <c r="I22" s="308" t="s">
        <v>714</v>
      </c>
      <c r="J22" s="55">
        <v>74974</v>
      </c>
      <c r="K22" s="308" t="s">
        <v>714</v>
      </c>
      <c r="L22" s="308" t="s">
        <v>714</v>
      </c>
      <c r="M22" s="308" t="s">
        <v>714</v>
      </c>
      <c r="N22" s="55">
        <v>51750</v>
      </c>
      <c r="O22" s="16">
        <v>27783</v>
      </c>
    </row>
    <row r="23" spans="1:15" s="25" customFormat="1" ht="23.25" customHeight="1">
      <c r="A23" s="451"/>
      <c r="B23" s="375" t="s">
        <v>45</v>
      </c>
      <c r="C23" s="16">
        <v>3398375</v>
      </c>
      <c r="D23" s="308" t="s">
        <v>714</v>
      </c>
      <c r="E23" s="16">
        <v>271428</v>
      </c>
      <c r="F23" s="308" t="s">
        <v>714</v>
      </c>
      <c r="G23" s="4">
        <v>5643385</v>
      </c>
      <c r="H23" s="10">
        <v>273401</v>
      </c>
      <c r="I23" s="308" t="s">
        <v>714</v>
      </c>
      <c r="J23" s="55">
        <v>76956</v>
      </c>
      <c r="K23" s="308" t="s">
        <v>714</v>
      </c>
      <c r="L23" s="308" t="s">
        <v>714</v>
      </c>
      <c r="M23" s="308" t="s">
        <v>714</v>
      </c>
      <c r="N23" s="55">
        <v>51250</v>
      </c>
      <c r="O23" s="16">
        <v>78040</v>
      </c>
    </row>
    <row r="24" spans="1:15" s="15" customFormat="1" ht="6" customHeight="1">
      <c r="A24" s="206"/>
      <c r="B24" s="52"/>
      <c r="C24" s="16"/>
      <c r="D24" s="4"/>
      <c r="E24" s="16"/>
      <c r="F24" s="4"/>
      <c r="G24" s="4"/>
      <c r="H24" s="10"/>
      <c r="I24" s="4"/>
      <c r="J24" s="55"/>
      <c r="K24" s="4"/>
      <c r="L24" s="4"/>
      <c r="M24" s="4"/>
      <c r="N24" s="55"/>
      <c r="O24" s="16"/>
    </row>
    <row r="25" spans="1:15" s="25" customFormat="1" ht="16.5" customHeight="1">
      <c r="A25" s="206" t="s">
        <v>65</v>
      </c>
      <c r="B25" s="375" t="s">
        <v>44</v>
      </c>
      <c r="C25" s="16">
        <v>2702996</v>
      </c>
      <c r="D25" s="308" t="s">
        <v>714</v>
      </c>
      <c r="E25" s="16">
        <v>186818</v>
      </c>
      <c r="F25" s="308" t="s">
        <v>714</v>
      </c>
      <c r="G25" s="4">
        <v>3575664</v>
      </c>
      <c r="H25" s="10">
        <v>282514</v>
      </c>
      <c r="I25" s="308" t="s">
        <v>714</v>
      </c>
      <c r="J25" s="55">
        <v>49294</v>
      </c>
      <c r="K25" s="308" t="s">
        <v>714</v>
      </c>
      <c r="L25" s="308" t="s">
        <v>714</v>
      </c>
      <c r="M25" s="308" t="s">
        <v>714</v>
      </c>
      <c r="N25" s="55">
        <v>64629</v>
      </c>
      <c r="O25" s="16">
        <v>44200</v>
      </c>
    </row>
    <row r="26" spans="1:15" s="25" customFormat="1" ht="23.25" customHeight="1">
      <c r="A26" s="206">
        <v>2001</v>
      </c>
      <c r="B26" s="375" t="s">
        <v>45</v>
      </c>
      <c r="C26" s="16">
        <v>2924252</v>
      </c>
      <c r="D26" s="308" t="s">
        <v>714</v>
      </c>
      <c r="E26" s="16">
        <v>285744</v>
      </c>
      <c r="F26" s="308" t="s">
        <v>714</v>
      </c>
      <c r="G26" s="4">
        <v>3327316</v>
      </c>
      <c r="H26" s="10">
        <v>285073</v>
      </c>
      <c r="I26" s="308" t="s">
        <v>714</v>
      </c>
      <c r="J26" s="55">
        <v>47565</v>
      </c>
      <c r="K26" s="308" t="s">
        <v>714</v>
      </c>
      <c r="L26" s="308" t="s">
        <v>714</v>
      </c>
      <c r="M26" s="308" t="s">
        <v>714</v>
      </c>
      <c r="N26" s="55">
        <v>26821</v>
      </c>
      <c r="O26" s="16">
        <v>39455</v>
      </c>
    </row>
    <row r="27" spans="1:15" s="15" customFormat="1" ht="6" customHeight="1">
      <c r="A27" s="206"/>
      <c r="B27" s="52"/>
      <c r="C27" s="16"/>
      <c r="D27" s="4"/>
      <c r="E27" s="16"/>
      <c r="F27" s="4"/>
      <c r="G27" s="4"/>
      <c r="H27" s="10"/>
      <c r="I27" s="4"/>
      <c r="J27" s="55"/>
      <c r="K27" s="4"/>
      <c r="L27" s="4"/>
      <c r="M27" s="4"/>
      <c r="N27" s="55"/>
      <c r="O27" s="16"/>
    </row>
    <row r="28" spans="1:15" s="25" customFormat="1" ht="16.5" customHeight="1">
      <c r="A28" s="206" t="s">
        <v>181</v>
      </c>
      <c r="B28" s="375" t="s">
        <v>44</v>
      </c>
      <c r="C28" s="16">
        <v>2045227</v>
      </c>
      <c r="D28" s="308" t="s">
        <v>714</v>
      </c>
      <c r="E28" s="16">
        <v>147130</v>
      </c>
      <c r="F28" s="308" t="s">
        <v>714</v>
      </c>
      <c r="G28" s="4">
        <v>2545002</v>
      </c>
      <c r="H28" s="10">
        <v>284970</v>
      </c>
      <c r="I28" s="308" t="s">
        <v>714</v>
      </c>
      <c r="J28" s="55">
        <v>36733</v>
      </c>
      <c r="K28" s="308" t="s">
        <v>714</v>
      </c>
      <c r="L28" s="308" t="s">
        <v>714</v>
      </c>
      <c r="M28" s="308" t="s">
        <v>714</v>
      </c>
      <c r="N28" s="55">
        <v>26780</v>
      </c>
      <c r="O28" s="16">
        <v>15217</v>
      </c>
    </row>
    <row r="29" spans="1:15" s="25" customFormat="1" ht="23.25" customHeight="1">
      <c r="A29" s="206">
        <v>2002</v>
      </c>
      <c r="B29" s="375" t="s">
        <v>45</v>
      </c>
      <c r="C29" s="16">
        <v>2132110</v>
      </c>
      <c r="D29" s="308" t="s">
        <v>714</v>
      </c>
      <c r="E29" s="16">
        <v>166722</v>
      </c>
      <c r="F29" s="308" t="s">
        <v>714</v>
      </c>
      <c r="G29" s="4">
        <v>2799459</v>
      </c>
      <c r="H29" s="10">
        <v>303252</v>
      </c>
      <c r="I29" s="308" t="s">
        <v>714</v>
      </c>
      <c r="J29" s="55">
        <v>38335</v>
      </c>
      <c r="K29" s="308" t="s">
        <v>714</v>
      </c>
      <c r="L29" s="308" t="s">
        <v>714</v>
      </c>
      <c r="M29" s="308" t="s">
        <v>714</v>
      </c>
      <c r="N29" s="55">
        <v>17027</v>
      </c>
      <c r="O29" s="16">
        <v>56879</v>
      </c>
    </row>
    <row r="30" spans="1:15" s="15" customFormat="1" ht="6" customHeight="1">
      <c r="A30" s="206"/>
      <c r="B30" s="52"/>
      <c r="C30" s="16"/>
      <c r="D30" s="4"/>
      <c r="E30" s="16"/>
      <c r="F30" s="4"/>
      <c r="G30" s="4"/>
      <c r="H30" s="10"/>
      <c r="I30" s="4"/>
      <c r="J30" s="55"/>
      <c r="K30" s="4"/>
      <c r="L30" s="4"/>
      <c r="M30" s="4"/>
      <c r="N30" s="55"/>
      <c r="O30" s="16"/>
    </row>
    <row r="31" spans="1:15" s="25" customFormat="1" ht="16.5" customHeight="1">
      <c r="A31" s="206" t="s">
        <v>182</v>
      </c>
      <c r="B31" s="375" t="s">
        <v>44</v>
      </c>
      <c r="C31" s="16">
        <v>1860960</v>
      </c>
      <c r="D31" s="308" t="s">
        <v>714</v>
      </c>
      <c r="E31" s="16">
        <v>165732</v>
      </c>
      <c r="F31" s="308" t="s">
        <v>714</v>
      </c>
      <c r="G31" s="4">
        <v>2648155</v>
      </c>
      <c r="H31" s="10">
        <v>318252</v>
      </c>
      <c r="I31" s="308" t="s">
        <v>714</v>
      </c>
      <c r="J31" s="55">
        <v>35999</v>
      </c>
      <c r="K31" s="308" t="s">
        <v>714</v>
      </c>
      <c r="L31" s="308" t="s">
        <v>714</v>
      </c>
      <c r="M31" s="308" t="s">
        <v>714</v>
      </c>
      <c r="N31" s="55">
        <v>26953</v>
      </c>
      <c r="O31" s="16">
        <v>303181</v>
      </c>
    </row>
    <row r="32" spans="1:15" s="25" customFormat="1" ht="23.25" customHeight="1">
      <c r="A32" s="206">
        <v>2003</v>
      </c>
      <c r="B32" s="375" t="s">
        <v>45</v>
      </c>
      <c r="C32" s="16">
        <v>1887431</v>
      </c>
      <c r="D32" s="308" t="s">
        <v>714</v>
      </c>
      <c r="E32" s="16">
        <v>169195</v>
      </c>
      <c r="F32" s="308" t="s">
        <v>714</v>
      </c>
      <c r="G32" s="4">
        <v>2737148</v>
      </c>
      <c r="H32" s="10">
        <v>317352</v>
      </c>
      <c r="I32" s="308" t="s">
        <v>714</v>
      </c>
      <c r="J32" s="55">
        <v>34999</v>
      </c>
      <c r="K32" s="308" t="s">
        <v>714</v>
      </c>
      <c r="L32" s="308" t="s">
        <v>714</v>
      </c>
      <c r="M32" s="308" t="s">
        <v>714</v>
      </c>
      <c r="N32" s="55">
        <v>26953</v>
      </c>
      <c r="O32" s="16">
        <v>296654</v>
      </c>
    </row>
    <row r="33" spans="1:15" s="15" customFormat="1" ht="6" customHeight="1">
      <c r="A33" s="206"/>
      <c r="B33" s="52"/>
      <c r="C33" s="16"/>
      <c r="D33" s="4"/>
      <c r="E33" s="16"/>
      <c r="F33" s="4"/>
      <c r="G33" s="4"/>
      <c r="H33" s="10"/>
      <c r="I33" s="4"/>
      <c r="J33" s="55"/>
      <c r="K33" s="4"/>
      <c r="L33" s="4"/>
      <c r="M33" s="4"/>
      <c r="N33" s="55"/>
      <c r="O33" s="16"/>
    </row>
    <row r="34" spans="1:15" s="25" customFormat="1" ht="16.5" customHeight="1">
      <c r="A34" s="206" t="s">
        <v>66</v>
      </c>
      <c r="B34" s="375" t="s">
        <v>44</v>
      </c>
      <c r="C34" s="16">
        <v>1544409</v>
      </c>
      <c r="D34" s="308" t="s">
        <v>733</v>
      </c>
      <c r="E34" s="16">
        <v>145249</v>
      </c>
      <c r="F34" s="308" t="s">
        <v>733</v>
      </c>
      <c r="G34" s="4">
        <v>2644983</v>
      </c>
      <c r="H34" s="10">
        <v>315243</v>
      </c>
      <c r="I34" s="308" t="s">
        <v>733</v>
      </c>
      <c r="J34" s="55">
        <v>30886</v>
      </c>
      <c r="K34" s="308" t="s">
        <v>733</v>
      </c>
      <c r="L34" s="308" t="s">
        <v>733</v>
      </c>
      <c r="M34" s="308" t="s">
        <v>733</v>
      </c>
      <c r="N34" s="55">
        <v>30100</v>
      </c>
      <c r="O34" s="16">
        <v>298084</v>
      </c>
    </row>
    <row r="35" spans="1:15" s="25" customFormat="1" ht="23.25" customHeight="1">
      <c r="A35" s="206">
        <v>2004</v>
      </c>
      <c r="B35" s="375" t="s">
        <v>45</v>
      </c>
      <c r="C35" s="16">
        <v>1544409</v>
      </c>
      <c r="D35" s="308" t="s">
        <v>733</v>
      </c>
      <c r="E35" s="16">
        <v>145249</v>
      </c>
      <c r="F35" s="308" t="s">
        <v>733</v>
      </c>
      <c r="G35" s="4">
        <v>2644983</v>
      </c>
      <c r="H35" s="10">
        <v>315243</v>
      </c>
      <c r="I35" s="308" t="s">
        <v>733</v>
      </c>
      <c r="J35" s="55">
        <v>30886</v>
      </c>
      <c r="K35" s="308" t="s">
        <v>733</v>
      </c>
      <c r="L35" s="308" t="s">
        <v>733</v>
      </c>
      <c r="M35" s="308" t="s">
        <v>733</v>
      </c>
      <c r="N35" s="55">
        <v>30100</v>
      </c>
      <c r="O35" s="16">
        <v>298084</v>
      </c>
    </row>
    <row r="36" spans="1:15" s="15" customFormat="1" ht="6" customHeight="1">
      <c r="A36" s="206"/>
      <c r="B36" s="52"/>
      <c r="C36" s="16"/>
      <c r="D36" s="4"/>
      <c r="E36" s="16"/>
      <c r="F36" s="4"/>
      <c r="G36" s="4"/>
      <c r="H36" s="10"/>
      <c r="I36" s="4"/>
      <c r="J36" s="55"/>
      <c r="K36" s="4"/>
      <c r="L36" s="4"/>
      <c r="M36" s="4"/>
      <c r="N36" s="55"/>
      <c r="O36" s="16"/>
    </row>
    <row r="37" spans="1:15" s="25" customFormat="1" ht="16.5" customHeight="1">
      <c r="A37" s="206" t="s">
        <v>67</v>
      </c>
      <c r="B37" s="375" t="s">
        <v>44</v>
      </c>
      <c r="C37" s="16">
        <v>2467946</v>
      </c>
      <c r="D37" s="308" t="s">
        <v>714</v>
      </c>
      <c r="E37" s="16">
        <v>158876</v>
      </c>
      <c r="F37" s="308" t="s">
        <v>714</v>
      </c>
      <c r="G37" s="4">
        <v>2384933</v>
      </c>
      <c r="H37" s="10">
        <v>349772</v>
      </c>
      <c r="I37" s="308" t="s">
        <v>714</v>
      </c>
      <c r="J37" s="55">
        <v>23482</v>
      </c>
      <c r="K37" s="308" t="s">
        <v>714</v>
      </c>
      <c r="L37" s="308" t="s">
        <v>714</v>
      </c>
      <c r="M37" s="308" t="s">
        <v>714</v>
      </c>
      <c r="N37" s="55">
        <v>33640</v>
      </c>
      <c r="O37" s="16">
        <v>324033</v>
      </c>
    </row>
    <row r="38" spans="1:15" s="25" customFormat="1" ht="23.25" customHeight="1" thickBot="1">
      <c r="A38" s="71">
        <v>2005</v>
      </c>
      <c r="B38" s="400" t="s">
        <v>45</v>
      </c>
      <c r="C38" s="29">
        <v>2467946</v>
      </c>
      <c r="D38" s="328" t="s">
        <v>714</v>
      </c>
      <c r="E38" s="35">
        <v>158876</v>
      </c>
      <c r="F38" s="328" t="s">
        <v>714</v>
      </c>
      <c r="G38" s="9">
        <v>2384933</v>
      </c>
      <c r="H38" s="11">
        <v>349772</v>
      </c>
      <c r="I38" s="328" t="s">
        <v>714</v>
      </c>
      <c r="J38" s="111">
        <v>23482</v>
      </c>
      <c r="K38" s="328" t="s">
        <v>714</v>
      </c>
      <c r="L38" s="328" t="s">
        <v>714</v>
      </c>
      <c r="M38" s="328" t="s">
        <v>714</v>
      </c>
      <c r="N38" s="111">
        <v>33640</v>
      </c>
      <c r="O38" s="35">
        <v>324033</v>
      </c>
    </row>
    <row r="39" s="15" customFormat="1" ht="13.5">
      <c r="A39" s="93"/>
    </row>
  </sheetData>
  <mergeCells count="7">
    <mergeCell ref="A22:A23"/>
    <mergeCell ref="H2:O2"/>
    <mergeCell ref="H3:O3"/>
    <mergeCell ref="A6:B6"/>
    <mergeCell ref="A5:B5"/>
    <mergeCell ref="A2:G2"/>
    <mergeCell ref="A3:G3"/>
  </mergeCells>
  <printOptions/>
  <pageMargins left="1.141732283464567" right="1.141732283464567" top="1.5748031496062993" bottom="1.535433070866142" header="0.5118110236220472" footer="0.9055118110236221"/>
  <pageSetup firstPageNumber="316" useFirstPageNumber="1" horizontalDpi="96" verticalDpi="96" orientation="portrait" paperSize="9" r:id="rId1"/>
  <headerFooter alignWithMargins="0">
    <oddFooter>&amp;C&amp;"超研澤中圓,Regula"&amp;11‧&amp;"Times New Roman,標準"&amp;P&amp;"超研澤中圓,Regula"‧</oddFooter>
  </headerFooter>
</worksheet>
</file>

<file path=xl/worksheets/sheet2.xml><?xml version="1.0" encoding="utf-8"?>
<worksheet xmlns="http://schemas.openxmlformats.org/spreadsheetml/2006/main" xmlns:r="http://schemas.openxmlformats.org/officeDocument/2006/relationships">
  <sheetPr>
    <tabColor indexed="29"/>
  </sheetPr>
  <dimension ref="A1:O46"/>
  <sheetViews>
    <sheetView showGridLines="0" zoomScale="130" zoomScaleNormal="130" workbookViewId="0" topLeftCell="A1">
      <selection activeCell="A1" sqref="A1"/>
    </sheetView>
  </sheetViews>
  <sheetFormatPr defaultColWidth="9.00390625" defaultRowHeight="16.5"/>
  <cols>
    <col min="1" max="1" width="18.625" style="14" customWidth="1"/>
    <col min="2" max="3" width="8.125" style="14" customWidth="1"/>
    <col min="4" max="5" width="10.625" style="14" customWidth="1"/>
    <col min="6" max="6" width="9.625" style="14" customWidth="1"/>
    <col min="7" max="7" width="10.125" style="14" customWidth="1"/>
    <col min="8" max="8" width="9.625" style="14" customWidth="1"/>
    <col min="9" max="9" width="8.625" style="14" customWidth="1"/>
    <col min="10" max="10" width="8.125" style="14" customWidth="1"/>
    <col min="11" max="11" width="8.625" style="14" customWidth="1"/>
    <col min="12" max="12" width="12.625" style="14" customWidth="1"/>
    <col min="13" max="13" width="8.125" style="14" customWidth="1"/>
    <col min="14" max="14" width="11.625" style="14" customWidth="1"/>
    <col min="15" max="15" width="8.625" style="14" customWidth="1"/>
    <col min="16" max="16384" width="9.00390625" style="14" customWidth="1"/>
  </cols>
  <sheetData>
    <row r="1" spans="1:15" s="15" customFormat="1" ht="19.5" customHeight="1">
      <c r="A1" s="12" t="s">
        <v>441</v>
      </c>
      <c r="O1" s="53" t="s">
        <v>442</v>
      </c>
    </row>
    <row r="2" spans="1:15" s="17" customFormat="1" ht="24" customHeight="1">
      <c r="A2" s="442" t="s">
        <v>793</v>
      </c>
      <c r="B2" s="441"/>
      <c r="C2" s="441"/>
      <c r="D2" s="441"/>
      <c r="E2" s="441"/>
      <c r="F2" s="441"/>
      <c r="G2" s="441"/>
      <c r="H2" s="441" t="s">
        <v>794</v>
      </c>
      <c r="I2" s="441"/>
      <c r="J2" s="441"/>
      <c r="K2" s="441"/>
      <c r="L2" s="441"/>
      <c r="M2" s="441"/>
      <c r="N2" s="441"/>
      <c r="O2" s="441"/>
    </row>
    <row r="3" spans="1:15" s="57" customFormat="1" ht="13.5" customHeight="1" thickBot="1">
      <c r="A3" s="58"/>
      <c r="B3" s="59"/>
      <c r="C3" s="59"/>
      <c r="D3" s="60"/>
      <c r="E3" s="60"/>
      <c r="F3" s="59"/>
      <c r="G3" s="61" t="s">
        <v>434</v>
      </c>
      <c r="H3" s="59"/>
      <c r="I3" s="59"/>
      <c r="J3" s="59"/>
      <c r="K3" s="59"/>
      <c r="L3" s="59"/>
      <c r="M3" s="59"/>
      <c r="O3" s="71" t="s">
        <v>435</v>
      </c>
    </row>
    <row r="4" spans="1:15" s="62" customFormat="1" ht="27" customHeight="1">
      <c r="A4" s="281" t="s">
        <v>721</v>
      </c>
      <c r="B4" s="250" t="s">
        <v>761</v>
      </c>
      <c r="C4" s="251" t="s">
        <v>762</v>
      </c>
      <c r="D4" s="251" t="s">
        <v>763</v>
      </c>
      <c r="E4" s="251" t="s">
        <v>764</v>
      </c>
      <c r="F4" s="251" t="s">
        <v>765</v>
      </c>
      <c r="G4" s="251" t="s">
        <v>766</v>
      </c>
      <c r="H4" s="250" t="s">
        <v>767</v>
      </c>
      <c r="I4" s="251" t="s">
        <v>768</v>
      </c>
      <c r="J4" s="251" t="s">
        <v>769</v>
      </c>
      <c r="K4" s="251" t="s">
        <v>770</v>
      </c>
      <c r="L4" s="251" t="s">
        <v>771</v>
      </c>
      <c r="M4" s="251" t="s">
        <v>772</v>
      </c>
      <c r="N4" s="251" t="s">
        <v>773</v>
      </c>
      <c r="O4" s="253" t="s">
        <v>774</v>
      </c>
    </row>
    <row r="5" spans="1:15" s="62" customFormat="1" ht="36" customHeight="1" thickBot="1">
      <c r="A5" s="63" t="s">
        <v>775</v>
      </c>
      <c r="B5" s="64" t="s">
        <v>776</v>
      </c>
      <c r="C5" s="65" t="s">
        <v>777</v>
      </c>
      <c r="D5" s="65" t="s">
        <v>778</v>
      </c>
      <c r="E5" s="65" t="s">
        <v>779</v>
      </c>
      <c r="F5" s="65" t="s">
        <v>780</v>
      </c>
      <c r="G5" s="65" t="s">
        <v>781</v>
      </c>
      <c r="H5" s="64" t="s">
        <v>782</v>
      </c>
      <c r="I5" s="65" t="s">
        <v>783</v>
      </c>
      <c r="J5" s="65" t="s">
        <v>784</v>
      </c>
      <c r="K5" s="65" t="s">
        <v>785</v>
      </c>
      <c r="L5" s="65" t="s">
        <v>786</v>
      </c>
      <c r="M5" s="65" t="s">
        <v>787</v>
      </c>
      <c r="N5" s="65" t="s">
        <v>788</v>
      </c>
      <c r="O5" s="66" t="s">
        <v>789</v>
      </c>
    </row>
    <row r="6" spans="1:15" s="57" customFormat="1" ht="15" customHeight="1">
      <c r="A6" s="266" t="s">
        <v>790</v>
      </c>
      <c r="B6" s="262">
        <f aca="true" t="shared" si="0" ref="B6:B14">SUM(C6:O6)</f>
        <v>233</v>
      </c>
      <c r="C6" s="261">
        <v>120</v>
      </c>
      <c r="D6" s="261">
        <v>1</v>
      </c>
      <c r="E6" s="261">
        <v>5</v>
      </c>
      <c r="F6" s="261">
        <v>8</v>
      </c>
      <c r="G6" s="261">
        <v>79</v>
      </c>
      <c r="H6" s="262">
        <v>1</v>
      </c>
      <c r="I6" s="261">
        <v>3</v>
      </c>
      <c r="J6" s="254" t="s">
        <v>760</v>
      </c>
      <c r="K6" s="261">
        <v>5</v>
      </c>
      <c r="L6" s="261">
        <v>11</v>
      </c>
      <c r="M6" s="254" t="s">
        <v>760</v>
      </c>
      <c r="N6" s="254" t="s">
        <v>760</v>
      </c>
      <c r="O6" s="256" t="s">
        <v>760</v>
      </c>
    </row>
    <row r="7" spans="1:15" s="57" customFormat="1" ht="15" customHeight="1">
      <c r="A7" s="266" t="s">
        <v>504</v>
      </c>
      <c r="B7" s="262">
        <f t="shared" si="0"/>
        <v>251</v>
      </c>
      <c r="C7" s="261">
        <v>134</v>
      </c>
      <c r="D7" s="261">
        <v>1</v>
      </c>
      <c r="E7" s="261">
        <v>5</v>
      </c>
      <c r="F7" s="261">
        <v>9</v>
      </c>
      <c r="G7" s="261">
        <v>82</v>
      </c>
      <c r="H7" s="262">
        <v>1</v>
      </c>
      <c r="I7" s="261">
        <v>3</v>
      </c>
      <c r="J7" s="254" t="s">
        <v>505</v>
      </c>
      <c r="K7" s="261">
        <v>5</v>
      </c>
      <c r="L7" s="261">
        <v>11</v>
      </c>
      <c r="M7" s="254" t="s">
        <v>505</v>
      </c>
      <c r="N7" s="254" t="s">
        <v>505</v>
      </c>
      <c r="O7" s="257" t="s">
        <v>505</v>
      </c>
    </row>
    <row r="8" spans="1:15" s="57" customFormat="1" ht="15" customHeight="1">
      <c r="A8" s="266" t="s">
        <v>506</v>
      </c>
      <c r="B8" s="262">
        <f t="shared" si="0"/>
        <v>266</v>
      </c>
      <c r="C8" s="261">
        <v>147</v>
      </c>
      <c r="D8" s="261">
        <v>1</v>
      </c>
      <c r="E8" s="261">
        <v>6</v>
      </c>
      <c r="F8" s="261">
        <v>9</v>
      </c>
      <c r="G8" s="261">
        <v>82</v>
      </c>
      <c r="H8" s="262">
        <v>1</v>
      </c>
      <c r="I8" s="261">
        <v>4</v>
      </c>
      <c r="J8" s="254" t="s">
        <v>505</v>
      </c>
      <c r="K8" s="261">
        <v>5</v>
      </c>
      <c r="L8" s="261">
        <v>11</v>
      </c>
      <c r="M8" s="254" t="s">
        <v>505</v>
      </c>
      <c r="N8" s="254" t="s">
        <v>505</v>
      </c>
      <c r="O8" s="257" t="s">
        <v>505</v>
      </c>
    </row>
    <row r="9" spans="1:15" s="57" customFormat="1" ht="6" customHeight="1">
      <c r="A9" s="267"/>
      <c r="B9" s="262"/>
      <c r="C9" s="261"/>
      <c r="D9" s="261"/>
      <c r="E9" s="261"/>
      <c r="F9" s="261"/>
      <c r="G9" s="261"/>
      <c r="H9" s="262"/>
      <c r="I9" s="261"/>
      <c r="J9" s="261"/>
      <c r="K9" s="261"/>
      <c r="L9" s="261"/>
      <c r="M9" s="261"/>
      <c r="N9" s="261"/>
      <c r="O9" s="263"/>
    </row>
    <row r="10" spans="1:15" s="57" customFormat="1" ht="15" customHeight="1">
      <c r="A10" s="266" t="s">
        <v>507</v>
      </c>
      <c r="B10" s="262">
        <f t="shared" si="0"/>
        <v>286</v>
      </c>
      <c r="C10" s="261">
        <v>164</v>
      </c>
      <c r="D10" s="261">
        <v>1</v>
      </c>
      <c r="E10" s="261">
        <v>5</v>
      </c>
      <c r="F10" s="261">
        <v>10</v>
      </c>
      <c r="G10" s="261">
        <v>84</v>
      </c>
      <c r="H10" s="262">
        <v>1</v>
      </c>
      <c r="I10" s="261">
        <v>4</v>
      </c>
      <c r="J10" s="254" t="s">
        <v>505</v>
      </c>
      <c r="K10" s="261">
        <v>6</v>
      </c>
      <c r="L10" s="261">
        <v>11</v>
      </c>
      <c r="M10" s="254" t="s">
        <v>505</v>
      </c>
      <c r="N10" s="254" t="s">
        <v>505</v>
      </c>
      <c r="O10" s="257" t="s">
        <v>505</v>
      </c>
    </row>
    <row r="11" spans="1:15" s="57" customFormat="1" ht="15" customHeight="1">
      <c r="A11" s="266" t="s">
        <v>508</v>
      </c>
      <c r="B11" s="262">
        <f t="shared" si="0"/>
        <v>314</v>
      </c>
      <c r="C11" s="261">
        <v>186</v>
      </c>
      <c r="D11" s="261">
        <v>2</v>
      </c>
      <c r="E11" s="261">
        <v>4</v>
      </c>
      <c r="F11" s="261">
        <v>10</v>
      </c>
      <c r="G11" s="261">
        <v>86</v>
      </c>
      <c r="H11" s="262">
        <v>1</v>
      </c>
      <c r="I11" s="261">
        <v>7</v>
      </c>
      <c r="J11" s="254" t="s">
        <v>505</v>
      </c>
      <c r="K11" s="261">
        <v>6</v>
      </c>
      <c r="L11" s="261">
        <v>12</v>
      </c>
      <c r="M11" s="254" t="s">
        <v>505</v>
      </c>
      <c r="N11" s="254" t="s">
        <v>505</v>
      </c>
      <c r="O11" s="257" t="s">
        <v>505</v>
      </c>
    </row>
    <row r="12" spans="1:15" s="57" customFormat="1" ht="15" customHeight="1">
      <c r="A12" s="266" t="s">
        <v>509</v>
      </c>
      <c r="B12" s="262">
        <f t="shared" si="0"/>
        <v>320</v>
      </c>
      <c r="C12" s="261">
        <v>193</v>
      </c>
      <c r="D12" s="261">
        <v>2</v>
      </c>
      <c r="E12" s="261">
        <v>4</v>
      </c>
      <c r="F12" s="261">
        <v>10</v>
      </c>
      <c r="G12" s="261">
        <v>85</v>
      </c>
      <c r="H12" s="262">
        <v>1</v>
      </c>
      <c r="I12" s="261">
        <v>7</v>
      </c>
      <c r="J12" s="254" t="s">
        <v>505</v>
      </c>
      <c r="K12" s="261">
        <v>6</v>
      </c>
      <c r="L12" s="261">
        <v>12</v>
      </c>
      <c r="M12" s="254" t="s">
        <v>505</v>
      </c>
      <c r="N12" s="254" t="s">
        <v>505</v>
      </c>
      <c r="O12" s="257" t="s">
        <v>505</v>
      </c>
    </row>
    <row r="13" spans="1:15" s="57" customFormat="1" ht="6" customHeight="1">
      <c r="A13" s="267"/>
      <c r="B13" s="262"/>
      <c r="C13" s="261"/>
      <c r="D13" s="261"/>
      <c r="E13" s="261"/>
      <c r="F13" s="261"/>
      <c r="G13" s="261"/>
      <c r="H13" s="262"/>
      <c r="I13" s="261"/>
      <c r="J13" s="261"/>
      <c r="K13" s="261"/>
      <c r="L13" s="261"/>
      <c r="M13" s="261"/>
      <c r="N13" s="261"/>
      <c r="O13" s="263"/>
    </row>
    <row r="14" spans="1:15" s="57" customFormat="1" ht="15" customHeight="1">
      <c r="A14" s="266" t="s">
        <v>510</v>
      </c>
      <c r="B14" s="262">
        <f t="shared" si="0"/>
        <v>332</v>
      </c>
      <c r="C14" s="261">
        <v>216</v>
      </c>
      <c r="D14" s="261">
        <v>2</v>
      </c>
      <c r="E14" s="261">
        <v>3</v>
      </c>
      <c r="F14" s="261">
        <v>11</v>
      </c>
      <c r="G14" s="261">
        <v>75</v>
      </c>
      <c r="H14" s="262">
        <v>1</v>
      </c>
      <c r="I14" s="261">
        <v>6</v>
      </c>
      <c r="J14" s="254" t="s">
        <v>505</v>
      </c>
      <c r="K14" s="261">
        <v>6</v>
      </c>
      <c r="L14" s="261">
        <v>12</v>
      </c>
      <c r="M14" s="254" t="s">
        <v>505</v>
      </c>
      <c r="N14" s="254" t="s">
        <v>505</v>
      </c>
      <c r="O14" s="257" t="s">
        <v>505</v>
      </c>
    </row>
    <row r="15" spans="1:15" s="57" customFormat="1" ht="15" customHeight="1">
      <c r="A15" s="266" t="s">
        <v>511</v>
      </c>
      <c r="B15" s="262">
        <f>SUM(C15:O15)</f>
        <v>339</v>
      </c>
      <c r="C15" s="261">
        <v>222</v>
      </c>
      <c r="D15" s="261">
        <v>2</v>
      </c>
      <c r="E15" s="261">
        <v>3</v>
      </c>
      <c r="F15" s="261">
        <v>11</v>
      </c>
      <c r="G15" s="261">
        <v>74</v>
      </c>
      <c r="H15" s="262">
        <v>1</v>
      </c>
      <c r="I15" s="261">
        <v>6</v>
      </c>
      <c r="J15" s="254" t="s">
        <v>505</v>
      </c>
      <c r="K15" s="261">
        <v>6</v>
      </c>
      <c r="L15" s="261">
        <v>14</v>
      </c>
      <c r="M15" s="254" t="s">
        <v>505</v>
      </c>
      <c r="N15" s="254" t="s">
        <v>505</v>
      </c>
      <c r="O15" s="257" t="s">
        <v>505</v>
      </c>
    </row>
    <row r="16" spans="1:15" s="57" customFormat="1" ht="15" customHeight="1">
      <c r="A16" s="266" t="s">
        <v>791</v>
      </c>
      <c r="B16" s="262">
        <f>SUM(C16:O16)</f>
        <v>356</v>
      </c>
      <c r="C16" s="261">
        <v>234</v>
      </c>
      <c r="D16" s="261">
        <v>2</v>
      </c>
      <c r="E16" s="261">
        <v>3</v>
      </c>
      <c r="F16" s="261">
        <v>11</v>
      </c>
      <c r="G16" s="261">
        <v>74</v>
      </c>
      <c r="H16" s="262">
        <v>1</v>
      </c>
      <c r="I16" s="261">
        <v>6</v>
      </c>
      <c r="J16" s="254" t="s">
        <v>733</v>
      </c>
      <c r="K16" s="261">
        <v>9</v>
      </c>
      <c r="L16" s="261">
        <v>16</v>
      </c>
      <c r="M16" s="254" t="s">
        <v>733</v>
      </c>
      <c r="N16" s="254" t="s">
        <v>733</v>
      </c>
      <c r="O16" s="257" t="s">
        <v>733</v>
      </c>
    </row>
    <row r="17" spans="1:15" s="57" customFormat="1" ht="9" customHeight="1">
      <c r="A17" s="267"/>
      <c r="B17" s="262"/>
      <c r="C17" s="261"/>
      <c r="D17" s="261"/>
      <c r="E17" s="261"/>
      <c r="F17" s="261"/>
      <c r="G17" s="261"/>
      <c r="H17" s="262"/>
      <c r="I17" s="261"/>
      <c r="J17" s="261"/>
      <c r="K17" s="261"/>
      <c r="L17" s="261"/>
      <c r="M17" s="261"/>
      <c r="N17" s="261"/>
      <c r="O17" s="263"/>
    </row>
    <row r="18" spans="1:15" s="57" customFormat="1" ht="15" customHeight="1">
      <c r="A18" s="266" t="s">
        <v>792</v>
      </c>
      <c r="B18" s="262">
        <f>SUM(C18:O18)</f>
        <v>361</v>
      </c>
      <c r="C18" s="261">
        <f>SUM(C20:C36)</f>
        <v>239</v>
      </c>
      <c r="D18" s="261">
        <f aca="true" t="shared" si="1" ref="D18:L18">SUM(D20:D36)</f>
        <v>2</v>
      </c>
      <c r="E18" s="261">
        <f t="shared" si="1"/>
        <v>2</v>
      </c>
      <c r="F18" s="261">
        <f t="shared" si="1"/>
        <v>11</v>
      </c>
      <c r="G18" s="261">
        <f t="shared" si="1"/>
        <v>74</v>
      </c>
      <c r="H18" s="262">
        <f t="shared" si="1"/>
        <v>1</v>
      </c>
      <c r="I18" s="261">
        <f t="shared" si="1"/>
        <v>6</v>
      </c>
      <c r="J18" s="254" t="s">
        <v>733</v>
      </c>
      <c r="K18" s="261">
        <f t="shared" si="1"/>
        <v>9</v>
      </c>
      <c r="L18" s="261">
        <f t="shared" si="1"/>
        <v>17</v>
      </c>
      <c r="M18" s="254" t="s">
        <v>505</v>
      </c>
      <c r="N18" s="254" t="s">
        <v>505</v>
      </c>
      <c r="O18" s="257" t="s">
        <v>733</v>
      </c>
    </row>
    <row r="19" spans="1:15" s="57" customFormat="1" ht="6" customHeight="1">
      <c r="A19" s="267"/>
      <c r="B19" s="262"/>
      <c r="C19" s="261"/>
      <c r="D19" s="261"/>
      <c r="E19" s="261"/>
      <c r="F19" s="261"/>
      <c r="G19" s="261"/>
      <c r="H19" s="262"/>
      <c r="I19" s="261"/>
      <c r="J19" s="261"/>
      <c r="K19" s="261"/>
      <c r="L19" s="261"/>
      <c r="M19" s="261"/>
      <c r="N19" s="261"/>
      <c r="O19" s="263"/>
    </row>
    <row r="20" spans="1:15" s="57" customFormat="1" ht="15" customHeight="1">
      <c r="A20" s="268" t="s">
        <v>512</v>
      </c>
      <c r="B20" s="262">
        <f>SUM(C20:O20)</f>
        <v>114</v>
      </c>
      <c r="C20" s="261">
        <v>73</v>
      </c>
      <c r="D20" s="261">
        <v>2</v>
      </c>
      <c r="E20" s="261">
        <v>1</v>
      </c>
      <c r="F20" s="261">
        <v>9</v>
      </c>
      <c r="G20" s="261">
        <v>7</v>
      </c>
      <c r="H20" s="255" t="s">
        <v>505</v>
      </c>
      <c r="I20" s="261">
        <v>6</v>
      </c>
      <c r="J20" s="254" t="s">
        <v>733</v>
      </c>
      <c r="K20" s="261">
        <v>4</v>
      </c>
      <c r="L20" s="261">
        <v>12</v>
      </c>
      <c r="M20" s="254" t="s">
        <v>505</v>
      </c>
      <c r="N20" s="254" t="s">
        <v>505</v>
      </c>
      <c r="O20" s="257" t="s">
        <v>733</v>
      </c>
    </row>
    <row r="21" spans="1:15" s="57" customFormat="1" ht="6" customHeight="1">
      <c r="A21" s="269"/>
      <c r="B21" s="262"/>
      <c r="C21" s="261"/>
      <c r="D21" s="261"/>
      <c r="E21" s="261"/>
      <c r="F21" s="261"/>
      <c r="G21" s="261"/>
      <c r="H21" s="262"/>
      <c r="I21" s="261"/>
      <c r="J21" s="261"/>
      <c r="K21" s="261"/>
      <c r="L21" s="261"/>
      <c r="M21" s="261"/>
      <c r="N21" s="261"/>
      <c r="O21" s="263"/>
    </row>
    <row r="22" spans="1:15" s="57" customFormat="1" ht="15" customHeight="1">
      <c r="A22" s="268" t="s">
        <v>513</v>
      </c>
      <c r="B22" s="262">
        <f aca="true" t="shared" si="2" ref="B22:B36">SUM(C22:O22)</f>
        <v>78</v>
      </c>
      <c r="C22" s="261">
        <v>70</v>
      </c>
      <c r="D22" s="254" t="s">
        <v>505</v>
      </c>
      <c r="E22" s="261">
        <v>1</v>
      </c>
      <c r="F22" s="254" t="s">
        <v>505</v>
      </c>
      <c r="G22" s="261">
        <v>1</v>
      </c>
      <c r="H22" s="255" t="s">
        <v>505</v>
      </c>
      <c r="I22" s="254" t="s">
        <v>505</v>
      </c>
      <c r="J22" s="254" t="s">
        <v>733</v>
      </c>
      <c r="K22" s="261">
        <v>2</v>
      </c>
      <c r="L22" s="261">
        <v>4</v>
      </c>
      <c r="M22" s="254" t="s">
        <v>505</v>
      </c>
      <c r="N22" s="254" t="s">
        <v>505</v>
      </c>
      <c r="O22" s="257" t="s">
        <v>733</v>
      </c>
    </row>
    <row r="23" spans="1:15" s="57" customFormat="1" ht="15" customHeight="1">
      <c r="A23" s="268" t="s">
        <v>514</v>
      </c>
      <c r="B23" s="262">
        <f t="shared" si="2"/>
        <v>18</v>
      </c>
      <c r="C23" s="261">
        <v>9</v>
      </c>
      <c r="D23" s="254" t="s">
        <v>505</v>
      </c>
      <c r="E23" s="254" t="s">
        <v>505</v>
      </c>
      <c r="F23" s="254" t="s">
        <v>505</v>
      </c>
      <c r="G23" s="261">
        <v>6</v>
      </c>
      <c r="H23" s="255" t="s">
        <v>505</v>
      </c>
      <c r="I23" s="254" t="s">
        <v>505</v>
      </c>
      <c r="J23" s="254" t="s">
        <v>733</v>
      </c>
      <c r="K23" s="261">
        <v>2</v>
      </c>
      <c r="L23" s="261">
        <v>1</v>
      </c>
      <c r="M23" s="254" t="s">
        <v>505</v>
      </c>
      <c r="N23" s="254" t="s">
        <v>505</v>
      </c>
      <c r="O23" s="257" t="s">
        <v>733</v>
      </c>
    </row>
    <row r="24" spans="1:15" s="57" customFormat="1" ht="15" customHeight="1">
      <c r="A24" s="268" t="s">
        <v>515</v>
      </c>
      <c r="B24" s="262">
        <f t="shared" si="2"/>
        <v>21</v>
      </c>
      <c r="C24" s="261">
        <v>13</v>
      </c>
      <c r="D24" s="254" t="s">
        <v>505</v>
      </c>
      <c r="E24" s="254" t="s">
        <v>505</v>
      </c>
      <c r="F24" s="261">
        <v>1</v>
      </c>
      <c r="G24" s="261">
        <v>7</v>
      </c>
      <c r="H24" s="255" t="s">
        <v>505</v>
      </c>
      <c r="I24" s="254" t="s">
        <v>505</v>
      </c>
      <c r="J24" s="254" t="s">
        <v>733</v>
      </c>
      <c r="K24" s="254" t="s">
        <v>505</v>
      </c>
      <c r="L24" s="254" t="s">
        <v>505</v>
      </c>
      <c r="M24" s="254" t="s">
        <v>505</v>
      </c>
      <c r="N24" s="254" t="s">
        <v>505</v>
      </c>
      <c r="O24" s="257" t="s">
        <v>733</v>
      </c>
    </row>
    <row r="25" spans="1:15" s="57" customFormat="1" ht="6" customHeight="1">
      <c r="A25" s="269"/>
      <c r="B25" s="262"/>
      <c r="C25" s="261"/>
      <c r="D25" s="261"/>
      <c r="E25" s="261"/>
      <c r="F25" s="261"/>
      <c r="G25" s="261"/>
      <c r="H25" s="262"/>
      <c r="I25" s="261"/>
      <c r="J25" s="261"/>
      <c r="K25" s="261"/>
      <c r="L25" s="261"/>
      <c r="M25" s="261"/>
      <c r="N25" s="261"/>
      <c r="O25" s="263"/>
    </row>
    <row r="26" spans="1:15" s="57" customFormat="1" ht="15" customHeight="1">
      <c r="A26" s="268" t="s">
        <v>516</v>
      </c>
      <c r="B26" s="262">
        <f t="shared" si="2"/>
        <v>15</v>
      </c>
      <c r="C26" s="261">
        <v>6</v>
      </c>
      <c r="D26" s="254" t="s">
        <v>505</v>
      </c>
      <c r="E26" s="254" t="s">
        <v>505</v>
      </c>
      <c r="F26" s="254" t="s">
        <v>505</v>
      </c>
      <c r="G26" s="261">
        <v>9</v>
      </c>
      <c r="H26" s="255" t="s">
        <v>505</v>
      </c>
      <c r="I26" s="254" t="s">
        <v>505</v>
      </c>
      <c r="J26" s="254" t="s">
        <v>733</v>
      </c>
      <c r="K26" s="254" t="s">
        <v>733</v>
      </c>
      <c r="L26" s="254" t="s">
        <v>505</v>
      </c>
      <c r="M26" s="254" t="s">
        <v>505</v>
      </c>
      <c r="N26" s="254" t="s">
        <v>505</v>
      </c>
      <c r="O26" s="257" t="s">
        <v>733</v>
      </c>
    </row>
    <row r="27" spans="1:15" s="57" customFormat="1" ht="15" customHeight="1">
      <c r="A27" s="268" t="s">
        <v>517</v>
      </c>
      <c r="B27" s="262">
        <f t="shared" si="2"/>
        <v>14</v>
      </c>
      <c r="C27" s="261">
        <v>9</v>
      </c>
      <c r="D27" s="254" t="s">
        <v>505</v>
      </c>
      <c r="E27" s="254" t="s">
        <v>505</v>
      </c>
      <c r="F27" s="254" t="s">
        <v>505</v>
      </c>
      <c r="G27" s="261">
        <v>5</v>
      </c>
      <c r="H27" s="255" t="s">
        <v>505</v>
      </c>
      <c r="I27" s="254" t="s">
        <v>505</v>
      </c>
      <c r="J27" s="254" t="s">
        <v>733</v>
      </c>
      <c r="K27" s="254" t="s">
        <v>733</v>
      </c>
      <c r="L27" s="254" t="s">
        <v>505</v>
      </c>
      <c r="M27" s="254" t="s">
        <v>505</v>
      </c>
      <c r="N27" s="254" t="s">
        <v>505</v>
      </c>
      <c r="O27" s="257" t="s">
        <v>733</v>
      </c>
    </row>
    <row r="28" spans="1:15" s="57" customFormat="1" ht="15" customHeight="1">
      <c r="A28" s="268" t="s">
        <v>518</v>
      </c>
      <c r="B28" s="262">
        <f t="shared" si="2"/>
        <v>28</v>
      </c>
      <c r="C28" s="261">
        <v>16</v>
      </c>
      <c r="D28" s="254" t="s">
        <v>505</v>
      </c>
      <c r="E28" s="254" t="s">
        <v>505</v>
      </c>
      <c r="F28" s="261">
        <v>1</v>
      </c>
      <c r="G28" s="261">
        <v>10</v>
      </c>
      <c r="H28" s="255" t="s">
        <v>505</v>
      </c>
      <c r="I28" s="254" t="s">
        <v>505</v>
      </c>
      <c r="J28" s="254" t="s">
        <v>733</v>
      </c>
      <c r="K28" s="261">
        <v>1</v>
      </c>
      <c r="L28" s="254" t="s">
        <v>505</v>
      </c>
      <c r="M28" s="254" t="s">
        <v>505</v>
      </c>
      <c r="N28" s="254" t="s">
        <v>505</v>
      </c>
      <c r="O28" s="257" t="s">
        <v>733</v>
      </c>
    </row>
    <row r="29" spans="1:15" s="57" customFormat="1" ht="6" customHeight="1">
      <c r="A29" s="269"/>
      <c r="B29" s="262"/>
      <c r="C29" s="261"/>
      <c r="D29" s="261"/>
      <c r="E29" s="261"/>
      <c r="F29" s="261"/>
      <c r="G29" s="261"/>
      <c r="H29" s="262"/>
      <c r="I29" s="261"/>
      <c r="J29" s="261"/>
      <c r="K29" s="261"/>
      <c r="L29" s="261"/>
      <c r="M29" s="261"/>
      <c r="N29" s="261"/>
      <c r="O29" s="263"/>
    </row>
    <row r="30" spans="1:15" s="57" customFormat="1" ht="15" customHeight="1">
      <c r="A30" s="268" t="s">
        <v>519</v>
      </c>
      <c r="B30" s="262">
        <f t="shared" si="2"/>
        <v>15</v>
      </c>
      <c r="C30" s="261">
        <v>7</v>
      </c>
      <c r="D30" s="254" t="s">
        <v>505</v>
      </c>
      <c r="E30" s="254" t="s">
        <v>505</v>
      </c>
      <c r="F30" s="254" t="s">
        <v>505</v>
      </c>
      <c r="G30" s="261">
        <v>7</v>
      </c>
      <c r="H30" s="262">
        <v>1</v>
      </c>
      <c r="I30" s="254" t="s">
        <v>505</v>
      </c>
      <c r="J30" s="254" t="s">
        <v>733</v>
      </c>
      <c r="K30" s="254" t="s">
        <v>733</v>
      </c>
      <c r="L30" s="254" t="s">
        <v>505</v>
      </c>
      <c r="M30" s="254" t="s">
        <v>505</v>
      </c>
      <c r="N30" s="254" t="s">
        <v>505</v>
      </c>
      <c r="O30" s="257" t="s">
        <v>733</v>
      </c>
    </row>
    <row r="31" spans="1:15" s="57" customFormat="1" ht="15" customHeight="1">
      <c r="A31" s="268" t="s">
        <v>520</v>
      </c>
      <c r="B31" s="262">
        <f t="shared" si="2"/>
        <v>29</v>
      </c>
      <c r="C31" s="261">
        <v>19</v>
      </c>
      <c r="D31" s="254" t="s">
        <v>505</v>
      </c>
      <c r="E31" s="254" t="s">
        <v>505</v>
      </c>
      <c r="F31" s="254" t="s">
        <v>505</v>
      </c>
      <c r="G31" s="261">
        <v>10</v>
      </c>
      <c r="H31" s="255" t="s">
        <v>505</v>
      </c>
      <c r="I31" s="254" t="s">
        <v>505</v>
      </c>
      <c r="J31" s="254" t="s">
        <v>733</v>
      </c>
      <c r="K31" s="254" t="s">
        <v>733</v>
      </c>
      <c r="L31" s="254" t="s">
        <v>505</v>
      </c>
      <c r="M31" s="254" t="s">
        <v>505</v>
      </c>
      <c r="N31" s="254" t="s">
        <v>505</v>
      </c>
      <c r="O31" s="257" t="s">
        <v>733</v>
      </c>
    </row>
    <row r="32" spans="1:15" s="57" customFormat="1" ht="15" customHeight="1">
      <c r="A32" s="268" t="s">
        <v>521</v>
      </c>
      <c r="B32" s="262">
        <f t="shared" si="2"/>
        <v>15</v>
      </c>
      <c r="C32" s="261">
        <v>10</v>
      </c>
      <c r="D32" s="254" t="s">
        <v>505</v>
      </c>
      <c r="E32" s="254" t="s">
        <v>505</v>
      </c>
      <c r="F32" s="254" t="s">
        <v>505</v>
      </c>
      <c r="G32" s="261">
        <v>5</v>
      </c>
      <c r="H32" s="255" t="s">
        <v>505</v>
      </c>
      <c r="I32" s="254" t="s">
        <v>505</v>
      </c>
      <c r="J32" s="254" t="s">
        <v>733</v>
      </c>
      <c r="K32" s="254" t="s">
        <v>733</v>
      </c>
      <c r="L32" s="254" t="s">
        <v>505</v>
      </c>
      <c r="M32" s="254" t="s">
        <v>505</v>
      </c>
      <c r="N32" s="254" t="s">
        <v>505</v>
      </c>
      <c r="O32" s="257" t="s">
        <v>733</v>
      </c>
    </row>
    <row r="33" spans="1:15" s="57" customFormat="1" ht="6" customHeight="1">
      <c r="A33" s="269"/>
      <c r="B33" s="262"/>
      <c r="C33" s="261"/>
      <c r="D33" s="261"/>
      <c r="E33" s="261"/>
      <c r="F33" s="261"/>
      <c r="G33" s="261"/>
      <c r="H33" s="262"/>
      <c r="I33" s="261"/>
      <c r="J33" s="261"/>
      <c r="K33" s="261"/>
      <c r="L33" s="261"/>
      <c r="M33" s="261"/>
      <c r="N33" s="261"/>
      <c r="O33" s="263"/>
    </row>
    <row r="34" spans="1:15" s="57" customFormat="1" ht="15" customHeight="1">
      <c r="A34" s="268" t="s">
        <v>522</v>
      </c>
      <c r="B34" s="262">
        <f t="shared" si="2"/>
        <v>7</v>
      </c>
      <c r="C34" s="261">
        <v>2</v>
      </c>
      <c r="D34" s="254" t="s">
        <v>505</v>
      </c>
      <c r="E34" s="254" t="s">
        <v>505</v>
      </c>
      <c r="F34" s="254" t="s">
        <v>505</v>
      </c>
      <c r="G34" s="261">
        <v>5</v>
      </c>
      <c r="H34" s="255" t="s">
        <v>505</v>
      </c>
      <c r="I34" s="254" t="s">
        <v>505</v>
      </c>
      <c r="J34" s="254" t="s">
        <v>733</v>
      </c>
      <c r="K34" s="254" t="s">
        <v>733</v>
      </c>
      <c r="L34" s="254" t="s">
        <v>505</v>
      </c>
      <c r="M34" s="254" t="s">
        <v>505</v>
      </c>
      <c r="N34" s="254" t="s">
        <v>505</v>
      </c>
      <c r="O34" s="257" t="s">
        <v>733</v>
      </c>
    </row>
    <row r="35" spans="1:15" s="57" customFormat="1" ht="15" customHeight="1">
      <c r="A35" s="268" t="s">
        <v>523</v>
      </c>
      <c r="B35" s="262">
        <f t="shared" si="2"/>
        <v>5</v>
      </c>
      <c r="C35" s="261">
        <v>5</v>
      </c>
      <c r="D35" s="254" t="s">
        <v>505</v>
      </c>
      <c r="E35" s="254" t="s">
        <v>505</v>
      </c>
      <c r="F35" s="254" t="s">
        <v>505</v>
      </c>
      <c r="G35" s="254" t="s">
        <v>505</v>
      </c>
      <c r="H35" s="255" t="s">
        <v>505</v>
      </c>
      <c r="I35" s="254" t="s">
        <v>505</v>
      </c>
      <c r="J35" s="254" t="s">
        <v>733</v>
      </c>
      <c r="K35" s="254" t="s">
        <v>733</v>
      </c>
      <c r="L35" s="254" t="s">
        <v>505</v>
      </c>
      <c r="M35" s="254" t="s">
        <v>505</v>
      </c>
      <c r="N35" s="254" t="s">
        <v>505</v>
      </c>
      <c r="O35" s="257" t="s">
        <v>733</v>
      </c>
    </row>
    <row r="36" spans="1:15" s="56" customFormat="1" ht="15" customHeight="1" thickBot="1">
      <c r="A36" s="270" t="s">
        <v>524</v>
      </c>
      <c r="B36" s="265">
        <f t="shared" si="2"/>
        <v>2</v>
      </c>
      <c r="C36" s="258" t="s">
        <v>505</v>
      </c>
      <c r="D36" s="258" t="s">
        <v>505</v>
      </c>
      <c r="E36" s="258" t="s">
        <v>505</v>
      </c>
      <c r="F36" s="258" t="s">
        <v>505</v>
      </c>
      <c r="G36" s="264">
        <v>2</v>
      </c>
      <c r="H36" s="259" t="s">
        <v>505</v>
      </c>
      <c r="I36" s="258" t="s">
        <v>505</v>
      </c>
      <c r="J36" s="258" t="s">
        <v>505</v>
      </c>
      <c r="K36" s="258" t="s">
        <v>505</v>
      </c>
      <c r="L36" s="258" t="s">
        <v>505</v>
      </c>
      <c r="M36" s="258" t="s">
        <v>505</v>
      </c>
      <c r="N36" s="258" t="s">
        <v>505</v>
      </c>
      <c r="O36" s="260" t="s">
        <v>505</v>
      </c>
    </row>
    <row r="37" spans="1:15" s="274" customFormat="1" ht="12" customHeight="1">
      <c r="A37" s="271" t="s">
        <v>795</v>
      </c>
      <c r="B37" s="272"/>
      <c r="C37" s="272"/>
      <c r="D37" s="272"/>
      <c r="E37" s="272"/>
      <c r="F37" s="272"/>
      <c r="G37" s="272"/>
      <c r="H37" s="273" t="s">
        <v>436</v>
      </c>
      <c r="I37" s="272"/>
      <c r="K37" s="272"/>
      <c r="L37" s="272"/>
      <c r="M37" s="272"/>
      <c r="N37" s="272"/>
      <c r="O37" s="272"/>
    </row>
    <row r="38" spans="1:15" s="277" customFormat="1" ht="12" customHeight="1">
      <c r="A38" s="275" t="s">
        <v>437</v>
      </c>
      <c r="B38" s="272"/>
      <c r="C38" s="272"/>
      <c r="D38" s="272"/>
      <c r="E38" s="272"/>
      <c r="F38" s="272"/>
      <c r="G38" s="272"/>
      <c r="H38" s="276" t="s">
        <v>438</v>
      </c>
      <c r="I38" s="272"/>
      <c r="K38" s="272"/>
      <c r="L38" s="272"/>
      <c r="M38" s="272"/>
      <c r="N38" s="272"/>
      <c r="O38" s="272"/>
    </row>
    <row r="39" spans="1:15" s="277" customFormat="1" ht="12" customHeight="1">
      <c r="A39" s="271" t="s">
        <v>443</v>
      </c>
      <c r="B39" s="278"/>
      <c r="C39" s="272"/>
      <c r="D39" s="272"/>
      <c r="E39" s="272"/>
      <c r="F39" s="272"/>
      <c r="G39" s="272"/>
      <c r="H39" s="279" t="s">
        <v>752</v>
      </c>
      <c r="I39" s="272"/>
      <c r="K39" s="272"/>
      <c r="L39" s="272"/>
      <c r="M39" s="272"/>
      <c r="N39" s="272"/>
      <c r="O39" s="272"/>
    </row>
    <row r="40" spans="1:15" s="277" customFormat="1" ht="12" customHeight="1">
      <c r="A40" s="271" t="s">
        <v>444</v>
      </c>
      <c r="B40" s="280"/>
      <c r="C40" s="272"/>
      <c r="D40" s="272"/>
      <c r="E40" s="272"/>
      <c r="F40" s="272"/>
      <c r="G40" s="272"/>
      <c r="H40" s="279" t="s">
        <v>753</v>
      </c>
      <c r="I40" s="272"/>
      <c r="K40" s="272"/>
      <c r="L40" s="272"/>
      <c r="M40" s="272"/>
      <c r="N40" s="272"/>
      <c r="O40" s="272"/>
    </row>
    <row r="41" spans="1:15" s="277" customFormat="1" ht="12" customHeight="1">
      <c r="A41" s="271" t="s">
        <v>445</v>
      </c>
      <c r="B41" s="280"/>
      <c r="C41" s="272"/>
      <c r="D41" s="272"/>
      <c r="E41" s="272"/>
      <c r="F41" s="272"/>
      <c r="G41" s="272"/>
      <c r="H41" s="279" t="s">
        <v>754</v>
      </c>
      <c r="I41" s="272"/>
      <c r="K41" s="272"/>
      <c r="L41" s="272"/>
      <c r="M41" s="272"/>
      <c r="N41" s="272"/>
      <c r="O41" s="272"/>
    </row>
    <row r="42" spans="1:15" s="277" customFormat="1" ht="12" customHeight="1">
      <c r="A42" s="271" t="s">
        <v>446</v>
      </c>
      <c r="B42" s="280"/>
      <c r="C42" s="272"/>
      <c r="D42" s="272"/>
      <c r="E42" s="272"/>
      <c r="F42" s="272"/>
      <c r="G42" s="272"/>
      <c r="H42" s="279" t="s">
        <v>755</v>
      </c>
      <c r="I42" s="272"/>
      <c r="K42" s="272"/>
      <c r="L42" s="272"/>
      <c r="M42" s="272"/>
      <c r="N42" s="272"/>
      <c r="O42" s="272"/>
    </row>
    <row r="43" spans="1:15" s="277" customFormat="1" ht="12" customHeight="1">
      <c r="A43" s="271" t="s">
        <v>439</v>
      </c>
      <c r="B43" s="280"/>
      <c r="C43" s="272"/>
      <c r="D43" s="272"/>
      <c r="E43" s="272"/>
      <c r="F43" s="272"/>
      <c r="G43" s="272"/>
      <c r="H43" s="279" t="s">
        <v>758</v>
      </c>
      <c r="I43" s="272"/>
      <c r="K43" s="272"/>
      <c r="L43" s="272"/>
      <c r="M43" s="272"/>
      <c r="N43" s="272"/>
      <c r="O43" s="272"/>
    </row>
    <row r="44" spans="1:15" s="277" customFormat="1" ht="12" customHeight="1">
      <c r="A44" s="271" t="s">
        <v>440</v>
      </c>
      <c r="B44" s="272"/>
      <c r="C44" s="272"/>
      <c r="D44" s="272"/>
      <c r="E44" s="272"/>
      <c r="F44" s="272"/>
      <c r="G44" s="272"/>
      <c r="H44" s="279" t="s">
        <v>756</v>
      </c>
      <c r="I44" s="272"/>
      <c r="K44" s="272"/>
      <c r="L44" s="272"/>
      <c r="M44" s="272"/>
      <c r="N44" s="272"/>
      <c r="O44" s="272"/>
    </row>
    <row r="45" s="277" customFormat="1" ht="12" customHeight="1">
      <c r="H45" s="279" t="s">
        <v>759</v>
      </c>
    </row>
    <row r="46" s="277" customFormat="1" ht="12" customHeight="1">
      <c r="H46" s="279" t="s">
        <v>757</v>
      </c>
    </row>
  </sheetData>
  <mergeCells count="2">
    <mergeCell ref="A2:G2"/>
    <mergeCell ref="H2:O2"/>
  </mergeCells>
  <printOptions/>
  <pageMargins left="1.141732283464567" right="1.141732283464567" top="1.5748031496062993" bottom="1.5748031496062993" header="0.5118110236220472" footer="0.9055118110236221"/>
  <pageSetup firstPageNumber="28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20.xml><?xml version="1.0" encoding="utf-8"?>
<worksheet xmlns="http://schemas.openxmlformats.org/spreadsheetml/2006/main" xmlns:r="http://schemas.openxmlformats.org/officeDocument/2006/relationships">
  <dimension ref="A1:O26"/>
  <sheetViews>
    <sheetView showGridLines="0" zoomScale="115" zoomScaleNormal="115" workbookViewId="0" topLeftCell="A1">
      <selection activeCell="A1" sqref="A1"/>
    </sheetView>
  </sheetViews>
  <sheetFormatPr defaultColWidth="9.00390625" defaultRowHeight="16.5"/>
  <cols>
    <col min="1" max="1" width="16.125" style="14" customWidth="1"/>
    <col min="2" max="2" width="9.625" style="14" customWidth="1"/>
    <col min="3" max="3" width="10.625" style="14" customWidth="1"/>
    <col min="4" max="7" width="9.625" style="14" customWidth="1"/>
    <col min="8" max="8" width="9.125" style="14" customWidth="1"/>
    <col min="9" max="11" width="9.375" style="14" customWidth="1"/>
    <col min="12" max="12" width="9.625" style="14" customWidth="1"/>
    <col min="13" max="15" width="9.375" style="14" customWidth="1"/>
    <col min="16" max="16384" width="9.00390625" style="14" customWidth="1"/>
  </cols>
  <sheetData>
    <row r="1" spans="1:15" s="15" customFormat="1" ht="19.5" customHeight="1">
      <c r="A1" s="12" t="s">
        <v>731</v>
      </c>
      <c r="B1" s="27"/>
      <c r="O1" s="53" t="s">
        <v>732</v>
      </c>
    </row>
    <row r="2" spans="1:15" s="17" customFormat="1" ht="19.5" customHeight="1">
      <c r="A2" s="442" t="s">
        <v>131</v>
      </c>
      <c r="B2" s="441"/>
      <c r="C2" s="441"/>
      <c r="D2" s="441"/>
      <c r="E2" s="441"/>
      <c r="F2" s="441"/>
      <c r="G2" s="441"/>
      <c r="H2" s="490" t="s">
        <v>132</v>
      </c>
      <c r="I2" s="490"/>
      <c r="J2" s="490"/>
      <c r="K2" s="490"/>
      <c r="L2" s="490"/>
      <c r="M2" s="490"/>
      <c r="N2" s="490"/>
      <c r="O2" s="490"/>
    </row>
    <row r="3" spans="1:15" s="17" customFormat="1" ht="15" customHeight="1">
      <c r="A3" s="442" t="s">
        <v>655</v>
      </c>
      <c r="B3" s="441"/>
      <c r="C3" s="441"/>
      <c r="D3" s="441"/>
      <c r="E3" s="441"/>
      <c r="F3" s="441"/>
      <c r="G3" s="441"/>
      <c r="H3" s="490" t="s">
        <v>130</v>
      </c>
      <c r="I3" s="490"/>
      <c r="J3" s="490"/>
      <c r="K3" s="490"/>
      <c r="L3" s="490"/>
      <c r="M3" s="490"/>
      <c r="N3" s="490"/>
      <c r="O3" s="490"/>
    </row>
    <row r="4" spans="1:15" s="15" customFormat="1" ht="15" customHeight="1" thickBot="1">
      <c r="A4" s="2"/>
      <c r="B4" s="16"/>
      <c r="C4" s="16"/>
      <c r="D4" s="16"/>
      <c r="E4" s="16"/>
      <c r="G4" s="24" t="s">
        <v>644</v>
      </c>
      <c r="H4" s="16"/>
      <c r="I4" s="16"/>
      <c r="J4" s="45"/>
      <c r="K4" s="45"/>
      <c r="O4" s="26" t="s">
        <v>87</v>
      </c>
    </row>
    <row r="5" spans="1:15" s="15" customFormat="1" ht="39.75" customHeight="1">
      <c r="A5" s="322" t="s">
        <v>645</v>
      </c>
      <c r="B5" s="252" t="s">
        <v>70</v>
      </c>
      <c r="C5" s="305" t="s">
        <v>88</v>
      </c>
      <c r="D5" s="325" t="s">
        <v>89</v>
      </c>
      <c r="E5" s="304" t="s">
        <v>90</v>
      </c>
      <c r="F5" s="304" t="s">
        <v>91</v>
      </c>
      <c r="G5" s="303" t="s">
        <v>92</v>
      </c>
      <c r="H5" s="305" t="s">
        <v>93</v>
      </c>
      <c r="I5" s="303" t="s">
        <v>94</v>
      </c>
      <c r="J5" s="304" t="s">
        <v>95</v>
      </c>
      <c r="K5" s="304" t="s">
        <v>96</v>
      </c>
      <c r="L5" s="304" t="s">
        <v>97</v>
      </c>
      <c r="M5" s="304" t="s">
        <v>98</v>
      </c>
      <c r="N5" s="304" t="s">
        <v>99</v>
      </c>
      <c r="O5" s="326" t="s">
        <v>100</v>
      </c>
    </row>
    <row r="6" spans="1:15" s="15" customFormat="1" ht="39.75" customHeight="1" thickBot="1">
      <c r="A6" s="28" t="s">
        <v>552</v>
      </c>
      <c r="B6" s="40" t="s">
        <v>101</v>
      </c>
      <c r="C6" s="13" t="s">
        <v>102</v>
      </c>
      <c r="D6" s="13" t="s">
        <v>103</v>
      </c>
      <c r="E6" s="41" t="s">
        <v>104</v>
      </c>
      <c r="F6" s="41" t="s">
        <v>105</v>
      </c>
      <c r="G6" s="41" t="s">
        <v>106</v>
      </c>
      <c r="H6" s="13" t="s">
        <v>107</v>
      </c>
      <c r="I6" s="41" t="s">
        <v>108</v>
      </c>
      <c r="J6" s="41" t="s">
        <v>109</v>
      </c>
      <c r="K6" s="41" t="s">
        <v>110</v>
      </c>
      <c r="L6" s="41" t="s">
        <v>111</v>
      </c>
      <c r="M6" s="41" t="s">
        <v>112</v>
      </c>
      <c r="N6" s="41" t="s">
        <v>128</v>
      </c>
      <c r="O6" s="42" t="s">
        <v>114</v>
      </c>
    </row>
    <row r="7" spans="1:15" s="15" customFormat="1" ht="37.5" customHeight="1">
      <c r="A7" s="306" t="s">
        <v>129</v>
      </c>
      <c r="B7" s="3">
        <v>11526358</v>
      </c>
      <c r="C7" s="4">
        <v>223199</v>
      </c>
      <c r="D7" s="4">
        <v>816794</v>
      </c>
      <c r="E7" s="4">
        <v>641732</v>
      </c>
      <c r="F7" s="4">
        <v>68071</v>
      </c>
      <c r="G7" s="4">
        <v>260312</v>
      </c>
      <c r="H7" s="311" t="s">
        <v>117</v>
      </c>
      <c r="I7" s="4">
        <v>79885</v>
      </c>
      <c r="J7" s="4">
        <v>377579</v>
      </c>
      <c r="K7" s="4">
        <v>220577</v>
      </c>
      <c r="L7" s="4">
        <v>4301189</v>
      </c>
      <c r="M7" s="4">
        <v>670715</v>
      </c>
      <c r="N7" s="4">
        <v>101111</v>
      </c>
      <c r="O7" s="5">
        <v>138147</v>
      </c>
    </row>
    <row r="8" spans="1:15" s="15" customFormat="1" ht="10.5" customHeight="1">
      <c r="A8" s="46"/>
      <c r="B8" s="3"/>
      <c r="C8" s="4"/>
      <c r="D8" s="4"/>
      <c r="E8" s="4"/>
      <c r="F8" s="4"/>
      <c r="G8" s="4"/>
      <c r="H8" s="230"/>
      <c r="I8" s="4"/>
      <c r="J8" s="4"/>
      <c r="K8" s="4"/>
      <c r="L8" s="4"/>
      <c r="M8" s="4"/>
      <c r="N8" s="4"/>
      <c r="O8" s="5"/>
    </row>
    <row r="9" spans="1:15" s="15" customFormat="1" ht="37.5" customHeight="1">
      <c r="A9" s="39" t="s">
        <v>156</v>
      </c>
      <c r="B9" s="3">
        <v>13870411</v>
      </c>
      <c r="C9" s="4">
        <v>181850</v>
      </c>
      <c r="D9" s="4">
        <v>894088</v>
      </c>
      <c r="E9" s="4">
        <v>697585</v>
      </c>
      <c r="F9" s="4">
        <v>75271</v>
      </c>
      <c r="G9" s="4">
        <v>388284</v>
      </c>
      <c r="H9" s="311" t="s">
        <v>673</v>
      </c>
      <c r="I9" s="4">
        <v>65352</v>
      </c>
      <c r="J9" s="4">
        <v>520708</v>
      </c>
      <c r="K9" s="4">
        <v>240737</v>
      </c>
      <c r="L9" s="4">
        <v>5620890</v>
      </c>
      <c r="M9" s="4">
        <v>533094</v>
      </c>
      <c r="N9" s="4">
        <v>155568</v>
      </c>
      <c r="O9" s="5">
        <v>113490</v>
      </c>
    </row>
    <row r="10" spans="1:15" s="15" customFormat="1" ht="10.5" customHeight="1">
      <c r="A10" s="46"/>
      <c r="B10" s="3"/>
      <c r="C10" s="4"/>
      <c r="D10" s="4"/>
      <c r="E10" s="4"/>
      <c r="F10" s="4"/>
      <c r="G10" s="4"/>
      <c r="H10" s="230"/>
      <c r="I10" s="4"/>
      <c r="J10" s="4"/>
      <c r="K10" s="4"/>
      <c r="L10" s="4"/>
      <c r="M10" s="4"/>
      <c r="N10" s="4"/>
      <c r="O10" s="5"/>
    </row>
    <row r="11" spans="1:15" s="15" customFormat="1" ht="37.5" customHeight="1">
      <c r="A11" s="39" t="s">
        <v>157</v>
      </c>
      <c r="B11" s="3">
        <v>12251395</v>
      </c>
      <c r="C11" s="4">
        <v>167996</v>
      </c>
      <c r="D11" s="4">
        <v>894352</v>
      </c>
      <c r="E11" s="4">
        <v>620877</v>
      </c>
      <c r="F11" s="4">
        <v>75481</v>
      </c>
      <c r="G11" s="4">
        <v>492669</v>
      </c>
      <c r="H11" s="311" t="s">
        <v>158</v>
      </c>
      <c r="I11" s="4">
        <v>73478</v>
      </c>
      <c r="J11" s="4">
        <v>511938</v>
      </c>
      <c r="K11" s="4">
        <v>598234</v>
      </c>
      <c r="L11" s="4">
        <v>3932813</v>
      </c>
      <c r="M11" s="4">
        <v>804243</v>
      </c>
      <c r="N11" s="4">
        <v>198926</v>
      </c>
      <c r="O11" s="5">
        <v>140852</v>
      </c>
    </row>
    <row r="12" spans="1:15" s="15" customFormat="1" ht="10.5" customHeight="1">
      <c r="A12" s="46"/>
      <c r="B12" s="3"/>
      <c r="C12" s="4"/>
      <c r="D12" s="4"/>
      <c r="E12" s="4"/>
      <c r="F12" s="4"/>
      <c r="G12" s="4"/>
      <c r="H12" s="230"/>
      <c r="I12" s="4"/>
      <c r="J12" s="4"/>
      <c r="K12" s="4"/>
      <c r="L12" s="4"/>
      <c r="M12" s="4"/>
      <c r="N12" s="4"/>
      <c r="O12" s="5"/>
    </row>
    <row r="13" spans="1:15" s="15" customFormat="1" ht="37.5" customHeight="1">
      <c r="A13" s="39" t="s">
        <v>159</v>
      </c>
      <c r="B13" s="3">
        <v>11657103</v>
      </c>
      <c r="C13" s="4">
        <v>188217</v>
      </c>
      <c r="D13" s="4">
        <v>939698</v>
      </c>
      <c r="E13" s="4">
        <v>657084</v>
      </c>
      <c r="F13" s="4">
        <v>78118</v>
      </c>
      <c r="G13" s="4">
        <v>439481</v>
      </c>
      <c r="H13" s="311" t="s">
        <v>158</v>
      </c>
      <c r="I13" s="4">
        <v>74017</v>
      </c>
      <c r="J13" s="4">
        <v>429511</v>
      </c>
      <c r="K13" s="4">
        <v>260792</v>
      </c>
      <c r="L13" s="4">
        <v>3285296</v>
      </c>
      <c r="M13" s="4">
        <v>489930</v>
      </c>
      <c r="N13" s="4">
        <v>228930</v>
      </c>
      <c r="O13" s="5">
        <v>186163</v>
      </c>
    </row>
    <row r="14" spans="1:15" s="15" customFormat="1" ht="10.5" customHeight="1">
      <c r="A14" s="46"/>
      <c r="B14" s="3"/>
      <c r="C14" s="4"/>
      <c r="D14" s="4"/>
      <c r="E14" s="4"/>
      <c r="F14" s="4"/>
      <c r="G14" s="4"/>
      <c r="H14" s="230"/>
      <c r="I14" s="4"/>
      <c r="J14" s="4"/>
      <c r="K14" s="4"/>
      <c r="L14" s="4"/>
      <c r="M14" s="4"/>
      <c r="N14" s="4"/>
      <c r="O14" s="5"/>
    </row>
    <row r="15" spans="1:15" s="15" customFormat="1" ht="37.5" customHeight="1">
      <c r="A15" s="39" t="s">
        <v>160</v>
      </c>
      <c r="B15" s="3">
        <v>14484178</v>
      </c>
      <c r="C15" s="4">
        <v>225078</v>
      </c>
      <c r="D15" s="4">
        <v>1114775</v>
      </c>
      <c r="E15" s="4">
        <v>832309</v>
      </c>
      <c r="F15" s="4">
        <v>72960</v>
      </c>
      <c r="G15" s="4">
        <v>346946</v>
      </c>
      <c r="H15" s="311" t="s">
        <v>158</v>
      </c>
      <c r="I15" s="4">
        <v>115047</v>
      </c>
      <c r="J15" s="4">
        <v>686454</v>
      </c>
      <c r="K15" s="4">
        <v>467137</v>
      </c>
      <c r="L15" s="4">
        <v>3801209</v>
      </c>
      <c r="M15" s="4">
        <v>455943</v>
      </c>
      <c r="N15" s="4">
        <v>186648</v>
      </c>
      <c r="O15" s="5">
        <v>698497</v>
      </c>
    </row>
    <row r="16" spans="1:15" s="15" customFormat="1" ht="10.5" customHeight="1">
      <c r="A16" s="46"/>
      <c r="B16" s="3"/>
      <c r="C16" s="4"/>
      <c r="D16" s="4"/>
      <c r="E16" s="4"/>
      <c r="F16" s="4"/>
      <c r="G16" s="4"/>
      <c r="H16" s="230"/>
      <c r="I16" s="4"/>
      <c r="J16" s="4"/>
      <c r="K16" s="4"/>
      <c r="L16" s="4"/>
      <c r="M16" s="4"/>
      <c r="N16" s="4"/>
      <c r="O16" s="5"/>
    </row>
    <row r="17" spans="1:15" s="15" customFormat="1" ht="37.5" customHeight="1">
      <c r="A17" s="39" t="s">
        <v>82</v>
      </c>
      <c r="B17" s="231">
        <v>20339652</v>
      </c>
      <c r="C17" s="4">
        <v>452503</v>
      </c>
      <c r="D17" s="4">
        <v>1704861</v>
      </c>
      <c r="E17" s="4">
        <v>1231960</v>
      </c>
      <c r="F17" s="4">
        <v>99059</v>
      </c>
      <c r="G17" s="4">
        <v>696885</v>
      </c>
      <c r="H17" s="311" t="s">
        <v>158</v>
      </c>
      <c r="I17" s="4">
        <v>114766</v>
      </c>
      <c r="J17" s="4">
        <v>815623</v>
      </c>
      <c r="K17" s="4">
        <v>471460</v>
      </c>
      <c r="L17" s="4">
        <v>5385764</v>
      </c>
      <c r="M17" s="4">
        <v>833957</v>
      </c>
      <c r="N17" s="4">
        <v>2218</v>
      </c>
      <c r="O17" s="5">
        <v>1029719</v>
      </c>
    </row>
    <row r="18" spans="1:15" s="15" customFormat="1" ht="10.5" customHeight="1">
      <c r="A18" s="46"/>
      <c r="B18" s="231"/>
      <c r="C18" s="4"/>
      <c r="D18" s="4"/>
      <c r="E18" s="4"/>
      <c r="F18" s="4"/>
      <c r="G18" s="4"/>
      <c r="H18" s="230"/>
      <c r="I18" s="4"/>
      <c r="J18" s="4"/>
      <c r="K18" s="4"/>
      <c r="L18" s="4"/>
      <c r="M18" s="4"/>
      <c r="N18" s="4"/>
      <c r="O18" s="5"/>
    </row>
    <row r="19" spans="1:15" s="15" customFormat="1" ht="37.5" customHeight="1">
      <c r="A19" s="39" t="s">
        <v>162</v>
      </c>
      <c r="B19" s="231">
        <v>16183511</v>
      </c>
      <c r="C19" s="4">
        <v>320620</v>
      </c>
      <c r="D19" s="4">
        <v>1281124</v>
      </c>
      <c r="E19" s="4">
        <v>870804</v>
      </c>
      <c r="F19" s="4">
        <v>72596</v>
      </c>
      <c r="G19" s="4">
        <v>600447</v>
      </c>
      <c r="H19" s="311" t="s">
        <v>158</v>
      </c>
      <c r="I19" s="4">
        <v>93585</v>
      </c>
      <c r="J19" s="4">
        <v>887994</v>
      </c>
      <c r="K19" s="4">
        <v>307186</v>
      </c>
      <c r="L19" s="4">
        <v>4201351</v>
      </c>
      <c r="M19" s="4">
        <v>1086146</v>
      </c>
      <c r="N19" s="4">
        <v>2084</v>
      </c>
      <c r="O19" s="5">
        <v>727887</v>
      </c>
    </row>
    <row r="20" spans="1:15" s="15" customFormat="1" ht="10.5" customHeight="1">
      <c r="A20" s="46"/>
      <c r="B20" s="231"/>
      <c r="C20" s="4"/>
      <c r="D20" s="4"/>
      <c r="E20" s="4"/>
      <c r="F20" s="4"/>
      <c r="G20" s="4"/>
      <c r="H20" s="230"/>
      <c r="I20" s="4"/>
      <c r="J20" s="4"/>
      <c r="K20" s="4"/>
      <c r="L20" s="4"/>
      <c r="M20" s="4"/>
      <c r="N20" s="4"/>
      <c r="O20" s="5"/>
    </row>
    <row r="21" spans="1:15" s="15" customFormat="1" ht="37.5" customHeight="1">
      <c r="A21" s="39" t="s">
        <v>163</v>
      </c>
      <c r="B21" s="231">
        <v>14126852</v>
      </c>
      <c r="C21" s="4">
        <f>287050761/1000+18051.06</f>
        <v>305101.821</v>
      </c>
      <c r="D21" s="4">
        <f>1126890593/1000+94747.161</f>
        <v>1221637.7540000002</v>
      </c>
      <c r="E21" s="4">
        <f>737281908/1000+236744.783</f>
        <v>974026.6910000001</v>
      </c>
      <c r="F21" s="4">
        <f>69209217/1000+33</f>
        <v>69242.217</v>
      </c>
      <c r="G21" s="4">
        <f>215244558/1000+267758.684</f>
        <v>483003.24199999997</v>
      </c>
      <c r="H21" s="311" t="s">
        <v>158</v>
      </c>
      <c r="I21" s="4">
        <f>70285946/1000+33217.843</f>
        <v>103503.78899999999</v>
      </c>
      <c r="J21" s="4">
        <f>276288091/1000+293707.356</f>
        <v>569995.447</v>
      </c>
      <c r="K21" s="4">
        <f>307197802/1000+52794.344</f>
        <v>359992.146</v>
      </c>
      <c r="L21" s="4">
        <f>6412160/1000+4448393.455</f>
        <v>4454805.615</v>
      </c>
      <c r="M21" s="4">
        <f>164061399/1000+565057.178</f>
        <v>729118.5769999999</v>
      </c>
      <c r="N21" s="4">
        <f>1090827/1000</f>
        <v>1090.827</v>
      </c>
      <c r="O21" s="5">
        <f>473601114/1000+44157.262</f>
        <v>517758.376</v>
      </c>
    </row>
    <row r="22" spans="1:15" s="15" customFormat="1" ht="10.5" customHeight="1">
      <c r="A22" s="46"/>
      <c r="B22" s="231"/>
      <c r="C22" s="4"/>
      <c r="D22" s="4"/>
      <c r="E22" s="4"/>
      <c r="F22" s="4"/>
      <c r="G22" s="4"/>
      <c r="H22" s="230"/>
      <c r="I22" s="4"/>
      <c r="J22" s="4"/>
      <c r="K22" s="4"/>
      <c r="L22" s="4"/>
      <c r="M22" s="4"/>
      <c r="N22" s="4"/>
      <c r="O22" s="5"/>
    </row>
    <row r="23" spans="1:15" s="15" customFormat="1" ht="37.5" customHeight="1">
      <c r="A23" s="39" t="s">
        <v>164</v>
      </c>
      <c r="B23" s="231">
        <v>13283391</v>
      </c>
      <c r="C23" s="4">
        <v>416763.554</v>
      </c>
      <c r="D23" s="4">
        <v>1275743.462</v>
      </c>
      <c r="E23" s="4">
        <v>866977.276</v>
      </c>
      <c r="F23" s="4">
        <v>60018.295</v>
      </c>
      <c r="G23" s="4">
        <v>488913.387</v>
      </c>
      <c r="H23" s="311" t="s">
        <v>733</v>
      </c>
      <c r="I23" s="4">
        <v>158671.597</v>
      </c>
      <c r="J23" s="4">
        <v>559258.511</v>
      </c>
      <c r="K23" s="4">
        <v>353720.33900000004</v>
      </c>
      <c r="L23" s="4">
        <v>2988275.3529999997</v>
      </c>
      <c r="M23" s="4">
        <v>1034159.615</v>
      </c>
      <c r="N23" s="4">
        <v>1010.954</v>
      </c>
      <c r="O23" s="5">
        <v>443139.722</v>
      </c>
    </row>
    <row r="24" spans="1:15" s="15" customFormat="1" ht="10.5" customHeight="1">
      <c r="A24" s="46"/>
      <c r="B24" s="231"/>
      <c r="C24" s="4"/>
      <c r="D24" s="4"/>
      <c r="E24" s="4"/>
      <c r="F24" s="4"/>
      <c r="G24" s="4"/>
      <c r="H24" s="230"/>
      <c r="I24" s="4"/>
      <c r="J24" s="4"/>
      <c r="K24" s="4"/>
      <c r="L24" s="4"/>
      <c r="M24" s="4"/>
      <c r="N24" s="4"/>
      <c r="O24" s="5"/>
    </row>
    <row r="25" spans="1:15" s="15" customFormat="1" ht="37.5" customHeight="1" thickBot="1">
      <c r="A25" s="50" t="s">
        <v>165</v>
      </c>
      <c r="B25" s="413"/>
      <c r="C25" s="9"/>
      <c r="D25" s="9"/>
      <c r="E25" s="9"/>
      <c r="F25" s="9"/>
      <c r="G25" s="9"/>
      <c r="H25" s="11"/>
      <c r="I25" s="111"/>
      <c r="J25" s="9"/>
      <c r="K25" s="111"/>
      <c r="L25" s="111"/>
      <c r="M25" s="9"/>
      <c r="N25" s="111"/>
      <c r="O25" s="414"/>
    </row>
    <row r="26" spans="1:8" s="411" customFormat="1" ht="15.75" customHeight="1">
      <c r="A26" s="401" t="s">
        <v>133</v>
      </c>
      <c r="H26" s="412" t="s">
        <v>134</v>
      </c>
    </row>
  </sheetData>
  <mergeCells count="4">
    <mergeCell ref="A3:G3"/>
    <mergeCell ref="H3:O3"/>
    <mergeCell ref="H2:O2"/>
    <mergeCell ref="A2:G2"/>
  </mergeCells>
  <printOptions/>
  <pageMargins left="1.1811023622047245" right="1.1811023622047245" top="1.5748031496062993" bottom="1.5748031496062993" header="0.5118110236220472" footer="0.9055118110236221"/>
  <pageSetup firstPageNumber="318" useFirstPageNumber="1" horizontalDpi="96" verticalDpi="96" orientation="portrait" paperSize="9" r:id="rId1"/>
  <headerFooter alignWithMargins="0">
    <oddFooter>&amp;C&amp;"超研澤中圓,Regula"&amp;11‧&amp;"Times New Roman,標準"&amp;P&amp;"超研澤中圓,Regula"‧</oddFooter>
  </headerFooter>
</worksheet>
</file>

<file path=xl/worksheets/sheet21.xml><?xml version="1.0" encoding="utf-8"?>
<worksheet xmlns="http://schemas.openxmlformats.org/spreadsheetml/2006/main" xmlns:r="http://schemas.openxmlformats.org/officeDocument/2006/relationships">
  <dimension ref="A1:O26"/>
  <sheetViews>
    <sheetView showGridLines="0" zoomScale="115" zoomScaleNormal="115" workbookViewId="0" topLeftCell="A1">
      <selection activeCell="A1" sqref="A1"/>
    </sheetView>
  </sheetViews>
  <sheetFormatPr defaultColWidth="9.00390625" defaultRowHeight="16.5"/>
  <cols>
    <col min="1" max="1" width="16.125" style="14" customWidth="1"/>
    <col min="2" max="3" width="9.875" style="14" customWidth="1"/>
    <col min="4" max="5" width="9.625" style="14" customWidth="1"/>
    <col min="6" max="7" width="9.875" style="14" customWidth="1"/>
    <col min="8" max="8" width="10.125" style="14" customWidth="1"/>
    <col min="9" max="9" width="10.625" style="14" customWidth="1"/>
    <col min="10" max="10" width="9.625" style="14" customWidth="1"/>
    <col min="11" max="11" width="11.625" style="14" customWidth="1"/>
    <col min="12" max="12" width="13.625" style="14" customWidth="1"/>
    <col min="13" max="14" width="9.625" style="14" customWidth="1"/>
    <col min="15" max="16384" width="9.00390625" style="14" customWidth="1"/>
  </cols>
  <sheetData>
    <row r="1" spans="1:14" s="15" customFormat="1" ht="19.5" customHeight="1">
      <c r="A1" s="12" t="s">
        <v>13</v>
      </c>
      <c r="B1" s="27"/>
      <c r="N1" s="53" t="s">
        <v>14</v>
      </c>
    </row>
    <row r="2" spans="1:15" s="17" customFormat="1" ht="33.75" customHeight="1">
      <c r="A2" s="442" t="s">
        <v>135</v>
      </c>
      <c r="B2" s="441"/>
      <c r="C2" s="441"/>
      <c r="D2" s="441"/>
      <c r="E2" s="441"/>
      <c r="F2" s="441"/>
      <c r="G2" s="441"/>
      <c r="H2" s="449" t="s">
        <v>136</v>
      </c>
      <c r="I2" s="449"/>
      <c r="J2" s="449"/>
      <c r="K2" s="449"/>
      <c r="L2" s="449"/>
      <c r="M2" s="449"/>
      <c r="N2" s="449"/>
      <c r="O2" s="47"/>
    </row>
    <row r="3" spans="1:15" s="17" customFormat="1" ht="15" customHeight="1">
      <c r="A3" s="442" t="s">
        <v>664</v>
      </c>
      <c r="B3" s="441"/>
      <c r="C3" s="441"/>
      <c r="D3" s="441"/>
      <c r="E3" s="441"/>
      <c r="F3" s="441"/>
      <c r="G3" s="441"/>
      <c r="H3" s="441" t="s">
        <v>665</v>
      </c>
      <c r="I3" s="441"/>
      <c r="J3" s="441"/>
      <c r="K3" s="441"/>
      <c r="L3" s="441"/>
      <c r="M3" s="441"/>
      <c r="N3" s="441"/>
      <c r="O3" s="47"/>
    </row>
    <row r="4" spans="1:14" s="15" customFormat="1" ht="15" customHeight="1" thickBot="1">
      <c r="A4" s="2"/>
      <c r="B4" s="16"/>
      <c r="C4" s="16"/>
      <c r="D4" s="16"/>
      <c r="E4" s="16"/>
      <c r="F4" s="16"/>
      <c r="G4" s="24" t="s">
        <v>644</v>
      </c>
      <c r="H4" s="16"/>
      <c r="I4" s="16"/>
      <c r="J4" s="45"/>
      <c r="K4" s="45"/>
      <c r="L4" s="25"/>
      <c r="M4" s="25"/>
      <c r="N4" s="26" t="s">
        <v>200</v>
      </c>
    </row>
    <row r="5" spans="1:14" s="15" customFormat="1" ht="27.75" customHeight="1">
      <c r="A5" s="322" t="s">
        <v>645</v>
      </c>
      <c r="B5" s="327" t="s">
        <v>539</v>
      </c>
      <c r="C5" s="304" t="s">
        <v>540</v>
      </c>
      <c r="D5" s="304" t="s">
        <v>542</v>
      </c>
      <c r="E5" s="304" t="s">
        <v>541</v>
      </c>
      <c r="F5" s="304" t="s">
        <v>543</v>
      </c>
      <c r="G5" s="304" t="s">
        <v>544</v>
      </c>
      <c r="H5" s="305" t="s">
        <v>545</v>
      </c>
      <c r="I5" s="304" t="s">
        <v>546</v>
      </c>
      <c r="J5" s="304" t="s">
        <v>547</v>
      </c>
      <c r="K5" s="304" t="s">
        <v>548</v>
      </c>
      <c r="L5" s="304" t="s">
        <v>549</v>
      </c>
      <c r="M5" s="304" t="s">
        <v>550</v>
      </c>
      <c r="N5" s="326" t="s">
        <v>551</v>
      </c>
    </row>
    <row r="6" spans="1:14" s="15" customFormat="1" ht="39.75" customHeight="1" thickBot="1">
      <c r="A6" s="28" t="s">
        <v>552</v>
      </c>
      <c r="B6" s="40" t="s">
        <v>553</v>
      </c>
      <c r="C6" s="41" t="s">
        <v>554</v>
      </c>
      <c r="D6" s="41" t="s">
        <v>556</v>
      </c>
      <c r="E6" s="41" t="s">
        <v>555</v>
      </c>
      <c r="F6" s="41" t="s">
        <v>557</v>
      </c>
      <c r="G6" s="41" t="s">
        <v>558</v>
      </c>
      <c r="H6" s="13" t="s">
        <v>559</v>
      </c>
      <c r="I6" s="41" t="s">
        <v>560</v>
      </c>
      <c r="J6" s="41" t="s">
        <v>602</v>
      </c>
      <c r="K6" s="41" t="s">
        <v>603</v>
      </c>
      <c r="L6" s="41" t="s">
        <v>604</v>
      </c>
      <c r="M6" s="41" t="s">
        <v>561</v>
      </c>
      <c r="N6" s="42" t="s">
        <v>562</v>
      </c>
    </row>
    <row r="7" spans="1:14" s="6" customFormat="1" ht="37.5" customHeight="1">
      <c r="A7" s="306" t="s">
        <v>129</v>
      </c>
      <c r="B7" s="10">
        <v>655741</v>
      </c>
      <c r="C7" s="308" t="s">
        <v>117</v>
      </c>
      <c r="D7" s="10">
        <v>186889</v>
      </c>
      <c r="E7" s="308" t="s">
        <v>117</v>
      </c>
      <c r="F7" s="10">
        <v>2062826</v>
      </c>
      <c r="G7" s="308" t="s">
        <v>117</v>
      </c>
      <c r="H7" s="311" t="s">
        <v>117</v>
      </c>
      <c r="I7" s="55">
        <v>641073</v>
      </c>
      <c r="J7" s="308" t="s">
        <v>117</v>
      </c>
      <c r="K7" s="308" t="s">
        <v>117</v>
      </c>
      <c r="L7" s="308" t="s">
        <v>117</v>
      </c>
      <c r="M7" s="308" t="s">
        <v>117</v>
      </c>
      <c r="N7" s="404">
        <v>80518</v>
      </c>
    </row>
    <row r="8" spans="1:14" s="15" customFormat="1" ht="12" customHeight="1">
      <c r="A8" s="46"/>
      <c r="B8" s="10"/>
      <c r="C8" s="4"/>
      <c r="D8" s="10"/>
      <c r="E8" s="4"/>
      <c r="F8" s="10"/>
      <c r="G8" s="4"/>
      <c r="H8" s="10"/>
      <c r="I8" s="55"/>
      <c r="J8" s="4"/>
      <c r="K8" s="4"/>
      <c r="L8" s="4"/>
      <c r="M8" s="4"/>
      <c r="N8" s="404"/>
    </row>
    <row r="9" spans="1:14" s="6" customFormat="1" ht="37.5" customHeight="1">
      <c r="A9" s="39" t="s">
        <v>156</v>
      </c>
      <c r="B9" s="10">
        <v>770848</v>
      </c>
      <c r="C9" s="308" t="s">
        <v>673</v>
      </c>
      <c r="D9" s="10">
        <v>250329</v>
      </c>
      <c r="E9" s="308" t="s">
        <v>673</v>
      </c>
      <c r="F9" s="10">
        <v>2752725</v>
      </c>
      <c r="G9" s="308" t="s">
        <v>673</v>
      </c>
      <c r="H9" s="311" t="s">
        <v>673</v>
      </c>
      <c r="I9" s="55">
        <v>525963</v>
      </c>
      <c r="J9" s="308" t="s">
        <v>673</v>
      </c>
      <c r="K9" s="308" t="s">
        <v>673</v>
      </c>
      <c r="L9" s="308" t="s">
        <v>673</v>
      </c>
      <c r="M9" s="308" t="s">
        <v>673</v>
      </c>
      <c r="N9" s="404">
        <v>83629</v>
      </c>
    </row>
    <row r="10" spans="1:14" s="15" customFormat="1" ht="12" customHeight="1">
      <c r="A10" s="46"/>
      <c r="B10" s="10"/>
      <c r="C10" s="4"/>
      <c r="D10" s="10"/>
      <c r="E10" s="4"/>
      <c r="F10" s="10"/>
      <c r="G10" s="4"/>
      <c r="H10" s="10"/>
      <c r="I10" s="55"/>
      <c r="J10" s="4"/>
      <c r="K10" s="4"/>
      <c r="L10" s="4"/>
      <c r="M10" s="4"/>
      <c r="N10" s="404"/>
    </row>
    <row r="11" spans="1:14" s="6" customFormat="1" ht="37.5" customHeight="1">
      <c r="A11" s="39" t="s">
        <v>157</v>
      </c>
      <c r="B11" s="10">
        <v>795590</v>
      </c>
      <c r="C11" s="308" t="s">
        <v>158</v>
      </c>
      <c r="D11" s="10">
        <v>181943</v>
      </c>
      <c r="E11" s="308" t="s">
        <v>158</v>
      </c>
      <c r="F11" s="10">
        <v>2269372</v>
      </c>
      <c r="G11" s="308" t="s">
        <v>158</v>
      </c>
      <c r="H11" s="311" t="s">
        <v>158</v>
      </c>
      <c r="I11" s="55">
        <v>407102</v>
      </c>
      <c r="J11" s="308" t="s">
        <v>158</v>
      </c>
      <c r="K11" s="308" t="s">
        <v>158</v>
      </c>
      <c r="L11" s="308" t="s">
        <v>158</v>
      </c>
      <c r="M11" s="308" t="s">
        <v>158</v>
      </c>
      <c r="N11" s="404">
        <v>85529</v>
      </c>
    </row>
    <row r="12" spans="1:14" s="15" customFormat="1" ht="12" customHeight="1">
      <c r="A12" s="46"/>
      <c r="B12" s="10"/>
      <c r="C12" s="4"/>
      <c r="D12" s="10"/>
      <c r="E12" s="4"/>
      <c r="F12" s="10"/>
      <c r="G12" s="4"/>
      <c r="H12" s="10"/>
      <c r="I12" s="55"/>
      <c r="J12" s="4"/>
      <c r="K12" s="4"/>
      <c r="L12" s="4"/>
      <c r="M12" s="4"/>
      <c r="N12" s="404"/>
    </row>
    <row r="13" spans="1:14" s="6" customFormat="1" ht="37.5" customHeight="1">
      <c r="A13" s="39" t="s">
        <v>159</v>
      </c>
      <c r="B13" s="10">
        <v>1141020</v>
      </c>
      <c r="C13" s="308" t="s">
        <v>158</v>
      </c>
      <c r="D13" s="10">
        <v>293212</v>
      </c>
      <c r="E13" s="308" t="s">
        <v>158</v>
      </c>
      <c r="F13" s="10">
        <v>2477752</v>
      </c>
      <c r="G13" s="308" t="s">
        <v>158</v>
      </c>
      <c r="H13" s="311" t="s">
        <v>158</v>
      </c>
      <c r="I13" s="55">
        <v>376729</v>
      </c>
      <c r="J13" s="308" t="s">
        <v>158</v>
      </c>
      <c r="K13" s="308" t="s">
        <v>158</v>
      </c>
      <c r="L13" s="308" t="s">
        <v>158</v>
      </c>
      <c r="M13" s="308" t="s">
        <v>158</v>
      </c>
      <c r="N13" s="404">
        <v>111153</v>
      </c>
    </row>
    <row r="14" spans="1:14" s="15" customFormat="1" ht="12" customHeight="1">
      <c r="A14" s="46"/>
      <c r="B14" s="10"/>
      <c r="C14" s="4"/>
      <c r="D14" s="10"/>
      <c r="E14" s="4"/>
      <c r="F14" s="10"/>
      <c r="G14" s="4"/>
      <c r="H14" s="10"/>
      <c r="I14" s="55"/>
      <c r="J14" s="4"/>
      <c r="K14" s="4"/>
      <c r="L14" s="4"/>
      <c r="M14" s="4"/>
      <c r="N14" s="404"/>
    </row>
    <row r="15" spans="1:14" s="6" customFormat="1" ht="37.5" customHeight="1">
      <c r="A15" s="39" t="s">
        <v>160</v>
      </c>
      <c r="B15" s="10">
        <v>1796936</v>
      </c>
      <c r="C15" s="308" t="s">
        <v>158</v>
      </c>
      <c r="D15" s="10">
        <v>228280</v>
      </c>
      <c r="E15" s="308" t="s">
        <v>158</v>
      </c>
      <c r="F15" s="10">
        <v>3174612</v>
      </c>
      <c r="G15" s="308" t="s">
        <v>158</v>
      </c>
      <c r="H15" s="311" t="s">
        <v>158</v>
      </c>
      <c r="I15" s="55">
        <v>169859</v>
      </c>
      <c r="J15" s="308" t="s">
        <v>158</v>
      </c>
      <c r="K15" s="308" t="s">
        <v>158</v>
      </c>
      <c r="L15" s="308" t="s">
        <v>158</v>
      </c>
      <c r="M15" s="308" t="s">
        <v>158</v>
      </c>
      <c r="N15" s="404">
        <v>111488</v>
      </c>
    </row>
    <row r="16" spans="1:14" s="15" customFormat="1" ht="12" customHeight="1">
      <c r="A16" s="46"/>
      <c r="B16" s="10"/>
      <c r="C16" s="4"/>
      <c r="D16" s="10"/>
      <c r="E16" s="4"/>
      <c r="F16" s="10"/>
      <c r="G16" s="43"/>
      <c r="H16" s="10"/>
      <c r="I16" s="55"/>
      <c r="J16" s="4"/>
      <c r="K16" s="4"/>
      <c r="L16" s="4"/>
      <c r="M16" s="4"/>
      <c r="N16" s="404"/>
    </row>
    <row r="17" spans="1:14" s="6" customFormat="1" ht="37.5" customHeight="1">
      <c r="A17" s="39" t="s">
        <v>82</v>
      </c>
      <c r="B17" s="4">
        <v>3188119</v>
      </c>
      <c r="C17" s="308" t="s">
        <v>158</v>
      </c>
      <c r="D17" s="4">
        <v>259358</v>
      </c>
      <c r="E17" s="308" t="s">
        <v>158</v>
      </c>
      <c r="F17" s="10">
        <v>3683869</v>
      </c>
      <c r="G17" s="43">
        <v>297226</v>
      </c>
      <c r="H17" s="311" t="s">
        <v>158</v>
      </c>
      <c r="I17" s="55">
        <v>71524</v>
      </c>
      <c r="J17" s="308" t="s">
        <v>158</v>
      </c>
      <c r="K17" s="308" t="s">
        <v>158</v>
      </c>
      <c r="L17" s="308" t="s">
        <v>158</v>
      </c>
      <c r="M17" s="308" t="s">
        <v>158</v>
      </c>
      <c r="N17" s="404">
        <v>781</v>
      </c>
    </row>
    <row r="18" spans="1:14" s="15" customFormat="1" ht="12" customHeight="1">
      <c r="A18" s="46"/>
      <c r="B18" s="10"/>
      <c r="C18" s="4"/>
      <c r="D18" s="10"/>
      <c r="E18" s="4"/>
      <c r="F18" s="10"/>
      <c r="G18" s="43"/>
      <c r="H18" s="10"/>
      <c r="I18" s="55"/>
      <c r="J18" s="4"/>
      <c r="K18" s="4"/>
      <c r="L18" s="4"/>
      <c r="M18" s="4"/>
      <c r="N18" s="404"/>
    </row>
    <row r="19" spans="1:14" s="6" customFormat="1" ht="37.5" customHeight="1">
      <c r="A19" s="39" t="s">
        <v>162</v>
      </c>
      <c r="B19" s="10">
        <v>2620082</v>
      </c>
      <c r="C19" s="308" t="s">
        <v>158</v>
      </c>
      <c r="D19" s="10">
        <v>229155</v>
      </c>
      <c r="E19" s="308" t="s">
        <v>158</v>
      </c>
      <c r="F19" s="10">
        <v>2652249</v>
      </c>
      <c r="G19" s="43">
        <v>191550</v>
      </c>
      <c r="H19" s="311" t="s">
        <v>158</v>
      </c>
      <c r="I19" s="55">
        <v>38581</v>
      </c>
      <c r="J19" s="308" t="s">
        <v>158</v>
      </c>
      <c r="K19" s="308" t="s">
        <v>158</v>
      </c>
      <c r="L19" s="308" t="s">
        <v>158</v>
      </c>
      <c r="M19" s="308" t="s">
        <v>158</v>
      </c>
      <c r="N19" s="404">
        <v>70</v>
      </c>
    </row>
    <row r="20" spans="1:14" s="15" customFormat="1" ht="12" customHeight="1">
      <c r="A20" s="46"/>
      <c r="B20" s="16"/>
      <c r="C20" s="4"/>
      <c r="D20" s="10"/>
      <c r="E20" s="4"/>
      <c r="F20" s="16"/>
      <c r="G20" s="43"/>
      <c r="H20" s="10"/>
      <c r="I20" s="55"/>
      <c r="J20" s="4"/>
      <c r="K20" s="4"/>
      <c r="L20" s="4"/>
      <c r="M20" s="4"/>
      <c r="N20" s="404"/>
    </row>
    <row r="21" spans="1:14" s="6" customFormat="1" ht="37.5" customHeight="1">
      <c r="A21" s="39" t="s">
        <v>163</v>
      </c>
      <c r="B21" s="16">
        <f>1313444071/1000+309094.387</f>
        <v>1622538.458</v>
      </c>
      <c r="C21" s="308" t="s">
        <v>158</v>
      </c>
      <c r="D21" s="10">
        <f>56634895/1000+66250.204</f>
        <v>122885.09899999999</v>
      </c>
      <c r="E21" s="308" t="s">
        <v>158</v>
      </c>
      <c r="F21" s="16">
        <f>1899580198/1000+443091.443</f>
        <v>2342671.6410000003</v>
      </c>
      <c r="G21" s="43">
        <f>208340335/1000</f>
        <v>208340.335</v>
      </c>
      <c r="H21" s="311" t="s">
        <v>158</v>
      </c>
      <c r="I21" s="55">
        <f>30262149/1000</f>
        <v>30262.149</v>
      </c>
      <c r="J21" s="308" t="s">
        <v>158</v>
      </c>
      <c r="K21" s="308" t="s">
        <v>158</v>
      </c>
      <c r="L21" s="308" t="s">
        <v>158</v>
      </c>
      <c r="M21" s="308" t="s">
        <v>158</v>
      </c>
      <c r="N21" s="404">
        <v>10878.079</v>
      </c>
    </row>
    <row r="22" spans="1:14" s="15" customFormat="1" ht="12" customHeight="1">
      <c r="A22" s="46"/>
      <c r="B22" s="16"/>
      <c r="C22" s="4"/>
      <c r="D22" s="10"/>
      <c r="E22" s="4"/>
      <c r="F22" s="16"/>
      <c r="G22" s="43"/>
      <c r="H22" s="10"/>
      <c r="I22" s="55"/>
      <c r="J22" s="4"/>
      <c r="K22" s="4"/>
      <c r="L22" s="4"/>
      <c r="M22" s="4"/>
      <c r="N22" s="404"/>
    </row>
    <row r="23" spans="1:14" s="6" customFormat="1" ht="37.5" customHeight="1">
      <c r="A23" s="39" t="s">
        <v>164</v>
      </c>
      <c r="B23" s="16">
        <v>1574276.8850000002</v>
      </c>
      <c r="C23" s="308" t="s">
        <v>733</v>
      </c>
      <c r="D23" s="10">
        <v>181910.098</v>
      </c>
      <c r="E23" s="308" t="s">
        <v>733</v>
      </c>
      <c r="F23" s="16">
        <v>2523743.005</v>
      </c>
      <c r="G23" s="43">
        <v>211451.62</v>
      </c>
      <c r="H23" s="311" t="s">
        <v>733</v>
      </c>
      <c r="I23" s="55">
        <v>21106.842</v>
      </c>
      <c r="J23" s="308" t="s">
        <v>733</v>
      </c>
      <c r="K23" s="308" t="s">
        <v>733</v>
      </c>
      <c r="L23" s="308" t="s">
        <v>733</v>
      </c>
      <c r="M23" s="308" t="s">
        <v>733</v>
      </c>
      <c r="N23" s="404">
        <v>124250.801</v>
      </c>
    </row>
    <row r="24" spans="1:14" s="15" customFormat="1" ht="12" customHeight="1">
      <c r="A24" s="46"/>
      <c r="B24" s="16"/>
      <c r="C24" s="4"/>
      <c r="D24" s="10"/>
      <c r="E24" s="4"/>
      <c r="F24" s="16"/>
      <c r="G24" s="43"/>
      <c r="H24" s="10"/>
      <c r="I24" s="55"/>
      <c r="J24" s="4"/>
      <c r="K24" s="4"/>
      <c r="L24" s="4"/>
      <c r="M24" s="4"/>
      <c r="N24" s="404"/>
    </row>
    <row r="25" spans="1:14" s="6" customFormat="1" ht="37.5" customHeight="1" thickBot="1">
      <c r="A25" s="50" t="s">
        <v>165</v>
      </c>
      <c r="B25" s="35"/>
      <c r="C25" s="9"/>
      <c r="D25" s="9"/>
      <c r="E25" s="9"/>
      <c r="F25" s="35"/>
      <c r="G25" s="91"/>
      <c r="H25" s="11"/>
      <c r="I25" s="111"/>
      <c r="J25" s="9"/>
      <c r="K25" s="9"/>
      <c r="L25" s="9"/>
      <c r="M25" s="9"/>
      <c r="N25" s="405"/>
    </row>
    <row r="26" spans="2:14" s="103" customFormat="1" ht="14.25" customHeight="1">
      <c r="B26" s="102"/>
      <c r="M26" s="104"/>
      <c r="N26" s="104"/>
    </row>
  </sheetData>
  <mergeCells count="4">
    <mergeCell ref="A3:G3"/>
    <mergeCell ref="A2:G2"/>
    <mergeCell ref="H2:N2"/>
    <mergeCell ref="H3:N3"/>
  </mergeCells>
  <printOptions/>
  <pageMargins left="1.1811023622047245" right="1.1811023622047245" top="1.5748031496062993" bottom="1.5748031496062993" header="0.5118110236220472" footer="0.9055118110236221"/>
  <pageSetup firstPageNumber="32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22.xml><?xml version="1.0" encoding="utf-8"?>
<worksheet xmlns="http://schemas.openxmlformats.org/spreadsheetml/2006/main" xmlns:r="http://schemas.openxmlformats.org/officeDocument/2006/relationships">
  <sheetPr>
    <tabColor indexed="29"/>
  </sheetPr>
  <dimension ref="A1:G25"/>
  <sheetViews>
    <sheetView showGridLines="0" zoomScale="120" zoomScaleNormal="120" workbookViewId="0" topLeftCell="A1">
      <selection activeCell="A1" sqref="A1"/>
    </sheetView>
  </sheetViews>
  <sheetFormatPr defaultColWidth="9.00390625" defaultRowHeight="16.5"/>
  <cols>
    <col min="1" max="1" width="14.875" style="14" customWidth="1"/>
    <col min="2" max="5" width="12.125" style="14" customWidth="1"/>
    <col min="6" max="6" width="11.625" style="14" customWidth="1"/>
    <col min="7" max="16384" width="9.00390625" style="14" customWidth="1"/>
  </cols>
  <sheetData>
    <row r="1" spans="1:2" s="15" customFormat="1" ht="24" customHeight="1">
      <c r="A1" s="12" t="s">
        <v>13</v>
      </c>
      <c r="B1" s="27"/>
    </row>
    <row r="2" spans="1:6" s="164" customFormat="1" ht="42" customHeight="1">
      <c r="A2" s="440" t="s">
        <v>145</v>
      </c>
      <c r="B2" s="441"/>
      <c r="C2" s="441"/>
      <c r="D2" s="441"/>
      <c r="E2" s="441"/>
      <c r="F2" s="441"/>
    </row>
    <row r="3" spans="1:6" s="15" customFormat="1" ht="15" customHeight="1">
      <c r="A3" s="38"/>
      <c r="F3" s="32" t="s">
        <v>150</v>
      </c>
    </row>
    <row r="4" spans="1:6" s="15" customFormat="1" ht="15" customHeight="1" thickBot="1">
      <c r="A4" s="7"/>
      <c r="B4" s="16"/>
      <c r="C4" s="16"/>
      <c r="D4" s="16"/>
      <c r="F4" s="26" t="s">
        <v>87</v>
      </c>
    </row>
    <row r="5" spans="1:6" s="15" customFormat="1" ht="33.75" customHeight="1">
      <c r="A5" s="193"/>
      <c r="B5" s="423" t="s">
        <v>139</v>
      </c>
      <c r="C5" s="493" t="s">
        <v>137</v>
      </c>
      <c r="D5" s="493" t="s">
        <v>138</v>
      </c>
      <c r="E5" s="491" t="s">
        <v>140</v>
      </c>
      <c r="F5" s="434"/>
    </row>
    <row r="6" spans="1:7" s="15" customFormat="1" ht="33.75" customHeight="1">
      <c r="A6" s="310" t="s">
        <v>141</v>
      </c>
      <c r="B6" s="492"/>
      <c r="C6" s="494"/>
      <c r="D6" s="494"/>
      <c r="E6" s="244" t="s">
        <v>142</v>
      </c>
      <c r="F6" s="245" t="s">
        <v>608</v>
      </c>
      <c r="G6" s="2"/>
    </row>
    <row r="7" spans="1:7" s="15" customFormat="1" ht="33.75" customHeight="1" thickBot="1">
      <c r="A7" s="197"/>
      <c r="B7" s="40" t="s">
        <v>609</v>
      </c>
      <c r="C7" s="13" t="s">
        <v>610</v>
      </c>
      <c r="D7" s="13" t="s">
        <v>611</v>
      </c>
      <c r="E7" s="41" t="s">
        <v>612</v>
      </c>
      <c r="F7" s="42" t="s">
        <v>503</v>
      </c>
      <c r="G7" s="2"/>
    </row>
    <row r="8" spans="1:6" s="15" customFormat="1" ht="30.75" customHeight="1">
      <c r="A8" s="306" t="s">
        <v>689</v>
      </c>
      <c r="B8" s="3">
        <f>28420038853/1000</f>
        <v>28420038.853</v>
      </c>
      <c r="C8" s="10">
        <f>2501694221/1000</f>
        <v>2501694.221</v>
      </c>
      <c r="D8" s="10">
        <f>B8+C8</f>
        <v>30921733.074</v>
      </c>
      <c r="E8" s="415" t="s">
        <v>673</v>
      </c>
      <c r="F8" s="416" t="s">
        <v>673</v>
      </c>
    </row>
    <row r="9" spans="1:6" s="15" customFormat="1" ht="30.75" customHeight="1">
      <c r="A9" s="306" t="s">
        <v>690</v>
      </c>
      <c r="B9" s="3">
        <f>32800000000/1000</f>
        <v>32800000</v>
      </c>
      <c r="C9" s="311" t="s">
        <v>673</v>
      </c>
      <c r="D9" s="10">
        <f>SUM(B9:C9)</f>
        <v>32800000</v>
      </c>
      <c r="E9" s="198">
        <f>D9-D8</f>
        <v>1878266.925999999</v>
      </c>
      <c r="F9" s="199">
        <f>E9/D8*100</f>
        <v>6.074261495968047</v>
      </c>
    </row>
    <row r="10" spans="1:6" s="15" customFormat="1" ht="30.75" customHeight="1">
      <c r="A10" s="335" t="s">
        <v>691</v>
      </c>
      <c r="B10" s="3">
        <f>36864602000/1000</f>
        <v>36864602</v>
      </c>
      <c r="C10" s="311" t="s">
        <v>673</v>
      </c>
      <c r="D10" s="10">
        <f>SUM(B10:C10)</f>
        <v>36864602</v>
      </c>
      <c r="E10" s="198">
        <f>D10-D9</f>
        <v>4064602</v>
      </c>
      <c r="F10" s="199">
        <f>E10/D9*100</f>
        <v>12.392079268292683</v>
      </c>
    </row>
    <row r="11" spans="1:6" s="15" customFormat="1" ht="16.5" customHeight="1">
      <c r="A11" s="338"/>
      <c r="B11" s="3"/>
      <c r="C11" s="10"/>
      <c r="D11" s="10"/>
      <c r="E11" s="198"/>
      <c r="F11" s="199"/>
    </row>
    <row r="12" spans="1:6" s="15" customFormat="1" ht="30.75" customHeight="1">
      <c r="A12" s="335" t="s">
        <v>692</v>
      </c>
      <c r="B12" s="3">
        <f>34667051830/1000</f>
        <v>34667051.83</v>
      </c>
      <c r="C12" s="311" t="s">
        <v>673</v>
      </c>
      <c r="D12" s="10">
        <f>SUM(B12:C12)</f>
        <v>34667051.83</v>
      </c>
      <c r="E12" s="198">
        <f>D12-D10</f>
        <v>-2197550.170000002</v>
      </c>
      <c r="F12" s="199">
        <f>E12/D10*100</f>
        <v>-5.961139008092375</v>
      </c>
    </row>
    <row r="13" spans="1:6" s="15" customFormat="1" ht="30.75" customHeight="1">
      <c r="A13" s="336" t="s">
        <v>693</v>
      </c>
      <c r="B13" s="3">
        <f>36258928502/1000</f>
        <v>36258928.502</v>
      </c>
      <c r="C13" s="10">
        <f>983652145/1000</f>
        <v>983652.145</v>
      </c>
      <c r="D13" s="10">
        <f>SUM(B13:C13)</f>
        <v>37242580.647</v>
      </c>
      <c r="E13" s="198">
        <f>D13-D12</f>
        <v>2575528.8170000017</v>
      </c>
      <c r="F13" s="199">
        <f>E13/D12*100</f>
        <v>7.429327505638087</v>
      </c>
    </row>
    <row r="14" spans="1:6" s="2" customFormat="1" ht="34.5" customHeight="1">
      <c r="A14" s="39" t="s">
        <v>143</v>
      </c>
      <c r="B14" s="3">
        <f>54721535283/1000</f>
        <v>54721535.283</v>
      </c>
      <c r="C14" s="311" t="s">
        <v>673</v>
      </c>
      <c r="D14" s="10">
        <f>SUM(B14:C14)</f>
        <v>54721535.283</v>
      </c>
      <c r="E14" s="198">
        <f>D14-D13</f>
        <v>17478954.636</v>
      </c>
      <c r="F14" s="199">
        <f>E14/D13*100</f>
        <v>46.93271608021068</v>
      </c>
    </row>
    <row r="15" spans="1:6" s="2" customFormat="1" ht="16.5" customHeight="1">
      <c r="A15" s="39"/>
      <c r="B15" s="3"/>
      <c r="C15" s="10"/>
      <c r="D15" s="10"/>
      <c r="E15" s="198"/>
      <c r="F15" s="199"/>
    </row>
    <row r="16" spans="1:6" s="15" customFormat="1" ht="30.75" customHeight="1">
      <c r="A16" s="336" t="s">
        <v>238</v>
      </c>
      <c r="B16" s="3">
        <f>36744769487/1000</f>
        <v>36744769.487</v>
      </c>
      <c r="C16" s="311" t="s">
        <v>158</v>
      </c>
      <c r="D16" s="10">
        <f>SUM(B16:C16)</f>
        <v>36744769.487</v>
      </c>
      <c r="E16" s="198">
        <f>D16-D14</f>
        <v>-17976765.795999996</v>
      </c>
      <c r="F16" s="199">
        <f>E16/D14*100</f>
        <v>-32.851354961133055</v>
      </c>
    </row>
    <row r="17" spans="1:6" s="15" customFormat="1" ht="30.75" customHeight="1">
      <c r="A17" s="336" t="s">
        <v>694</v>
      </c>
      <c r="B17" s="3">
        <f>31679745601/1000</f>
        <v>31679745.601</v>
      </c>
      <c r="C17" s="10">
        <f>11852649399/1000</f>
        <v>11852649.399</v>
      </c>
      <c r="D17" s="10">
        <f>SUM(B17:C17)</f>
        <v>43532395</v>
      </c>
      <c r="E17" s="198">
        <f>D17-D16</f>
        <v>6787625.512999997</v>
      </c>
      <c r="F17" s="199">
        <f>E17/D16*100</f>
        <v>18.4723584002926</v>
      </c>
    </row>
    <row r="18" spans="1:6" s="2" customFormat="1" ht="30.75" customHeight="1">
      <c r="A18" s="336" t="s">
        <v>695</v>
      </c>
      <c r="B18" s="3">
        <v>41615855</v>
      </c>
      <c r="C18" s="311" t="s">
        <v>673</v>
      </c>
      <c r="D18" s="10">
        <f>SUM(B18:C18)</f>
        <v>41615855</v>
      </c>
      <c r="E18" s="198">
        <f>D18-D17</f>
        <v>-1916540</v>
      </c>
      <c r="F18" s="199">
        <f>E18/D17*100</f>
        <v>-4.402560438037007</v>
      </c>
    </row>
    <row r="19" spans="1:6" s="2" customFormat="1" ht="16.5" customHeight="1">
      <c r="A19" s="417"/>
      <c r="B19" s="3"/>
      <c r="C19" s="10"/>
      <c r="D19" s="10"/>
      <c r="E19" s="198"/>
      <c r="F19" s="199"/>
    </row>
    <row r="20" spans="1:6" s="2" customFormat="1" ht="30.75" customHeight="1">
      <c r="A20" s="336" t="s">
        <v>240</v>
      </c>
      <c r="B20" s="3">
        <v>47639407</v>
      </c>
      <c r="C20" s="311" t="s">
        <v>673</v>
      </c>
      <c r="D20" s="10">
        <f>SUM(B20:C20)</f>
        <v>47639407</v>
      </c>
      <c r="E20" s="198">
        <f>D20-D18</f>
        <v>6023552</v>
      </c>
      <c r="F20" s="199">
        <f>E20/D18*100</f>
        <v>14.474175767865397</v>
      </c>
    </row>
    <row r="21" spans="1:6" s="15" customFormat="1" ht="30.75" customHeight="1" thickBot="1">
      <c r="A21" s="337" t="s">
        <v>144</v>
      </c>
      <c r="B21" s="8">
        <v>47885960</v>
      </c>
      <c r="C21" s="328" t="s">
        <v>673</v>
      </c>
      <c r="D21" s="9">
        <f>SUM(B21:C21)</f>
        <v>47885960</v>
      </c>
      <c r="E21" s="200">
        <f>D21-D20</f>
        <v>246553</v>
      </c>
      <c r="F21" s="201">
        <f>E21/D20*100</f>
        <v>0.517540027313942</v>
      </c>
    </row>
    <row r="22" spans="1:6" s="15" customFormat="1" ht="13.5" customHeight="1">
      <c r="A22" s="166" t="s">
        <v>146</v>
      </c>
      <c r="B22" s="194"/>
      <c r="C22" s="194"/>
      <c r="D22" s="194"/>
      <c r="E22" s="194"/>
      <c r="F22" s="194"/>
    </row>
    <row r="23" spans="1:6" s="15" customFormat="1" ht="13.5" customHeight="1">
      <c r="A23" s="166" t="s">
        <v>147</v>
      </c>
      <c r="B23" s="194"/>
      <c r="C23" s="194"/>
      <c r="D23" s="194"/>
      <c r="E23" s="194"/>
      <c r="F23" s="194"/>
    </row>
    <row r="24" s="15" customFormat="1" ht="13.5" customHeight="1">
      <c r="A24" s="127" t="s">
        <v>148</v>
      </c>
    </row>
    <row r="25" s="15" customFormat="1" ht="13.5" customHeight="1">
      <c r="A25" s="127" t="s">
        <v>149</v>
      </c>
    </row>
  </sheetData>
  <mergeCells count="5">
    <mergeCell ref="A2:F2"/>
    <mergeCell ref="E5:F5"/>
    <mergeCell ref="B5:B6"/>
    <mergeCell ref="C5:C6"/>
    <mergeCell ref="D5:D6"/>
  </mergeCells>
  <printOptions/>
  <pageMargins left="1.1811023622047245" right="1.1811023622047245" top="1.5748031496062993" bottom="1.5748031496062993" header="0.5118110236220472" footer="0.9055118110236221"/>
  <pageSetup firstPageNumber="322" useFirstPageNumber="1" horizontalDpi="96" verticalDpi="96" orientation="portrait" paperSize="9" r:id="rId2"/>
  <headerFooter alignWithMargins="0">
    <oddFooter>&amp;C&amp;"超研澤中圓,Regula"&amp;11‧&amp;"Times New Roman,標準"&amp;P&amp;"超研澤中圓,Regula"‧</oddFooter>
  </headerFooter>
  <drawing r:id="rId1"/>
</worksheet>
</file>

<file path=xl/worksheets/sheet3.xml><?xml version="1.0" encoding="utf-8"?>
<worksheet xmlns="http://schemas.openxmlformats.org/spreadsheetml/2006/main" xmlns:r="http://schemas.openxmlformats.org/officeDocument/2006/relationships">
  <sheetPr>
    <tabColor indexed="29"/>
  </sheetPr>
  <dimension ref="A1:N39"/>
  <sheetViews>
    <sheetView showGridLines="0" zoomScale="120" zoomScaleNormal="120" workbookViewId="0" topLeftCell="A1">
      <selection activeCell="A1" sqref="A1"/>
    </sheetView>
  </sheetViews>
  <sheetFormatPr defaultColWidth="9.00390625" defaultRowHeight="16.5"/>
  <cols>
    <col min="1" max="1" width="11.125" style="14" customWidth="1"/>
    <col min="2" max="2" width="13.625" style="14" customWidth="1"/>
    <col min="3" max="4" width="8.625" style="14" customWidth="1"/>
    <col min="5" max="5" width="14.625" style="14" customWidth="1"/>
    <col min="6" max="6" width="10.625" style="14" customWidth="1"/>
    <col min="7" max="7" width="8.625" style="14" customWidth="1"/>
    <col min="8" max="9" width="12.375" style="14" customWidth="1"/>
    <col min="10" max="10" width="14.125" style="14" customWidth="1"/>
    <col min="11" max="13" width="12.375" style="14" customWidth="1"/>
    <col min="14" max="16384" width="9.00390625" style="14" customWidth="1"/>
  </cols>
  <sheetData>
    <row r="1" spans="1:13" s="15" customFormat="1" ht="19.5" customHeight="1">
      <c r="A1" s="12" t="s">
        <v>817</v>
      </c>
      <c r="B1" s="27"/>
      <c r="C1" s="27"/>
      <c r="M1" s="53" t="s">
        <v>818</v>
      </c>
    </row>
    <row r="2" spans="1:14" s="17" customFormat="1" ht="24" customHeight="1">
      <c r="A2" s="442" t="s">
        <v>812</v>
      </c>
      <c r="B2" s="441"/>
      <c r="C2" s="441"/>
      <c r="D2" s="441"/>
      <c r="E2" s="441"/>
      <c r="F2" s="441"/>
      <c r="G2" s="441"/>
      <c r="H2" s="441" t="s">
        <v>813</v>
      </c>
      <c r="I2" s="441"/>
      <c r="J2" s="441"/>
      <c r="K2" s="441"/>
      <c r="L2" s="441"/>
      <c r="M2" s="441"/>
      <c r="N2" s="47"/>
    </row>
    <row r="3" spans="1:13" s="17" customFormat="1" ht="18" customHeight="1">
      <c r="A3" s="442" t="s">
        <v>814</v>
      </c>
      <c r="B3" s="441"/>
      <c r="C3" s="441"/>
      <c r="D3" s="441"/>
      <c r="E3" s="441"/>
      <c r="F3" s="441"/>
      <c r="G3" s="441"/>
      <c r="H3" s="441" t="s">
        <v>815</v>
      </c>
      <c r="I3" s="441"/>
      <c r="J3" s="441"/>
      <c r="K3" s="441"/>
      <c r="L3" s="441"/>
      <c r="M3" s="441"/>
    </row>
    <row r="4" spans="1:13" s="22" customFormat="1" ht="15" customHeight="1" thickBot="1">
      <c r="A4" s="36"/>
      <c r="B4" s="36"/>
      <c r="C4" s="31"/>
      <c r="D4" s="31"/>
      <c r="E4" s="31"/>
      <c r="F4" s="31"/>
      <c r="G4" s="48" t="s">
        <v>727</v>
      </c>
      <c r="H4" s="31"/>
      <c r="I4" s="31"/>
      <c r="J4" s="31"/>
      <c r="K4" s="92"/>
      <c r="L4" s="92"/>
      <c r="M4" s="44" t="s">
        <v>820</v>
      </c>
    </row>
    <row r="5" spans="1:13" s="22" customFormat="1" ht="25.5" customHeight="1">
      <c r="A5" s="447" t="s">
        <v>728</v>
      </c>
      <c r="B5" s="448"/>
      <c r="C5" s="290" t="s">
        <v>667</v>
      </c>
      <c r="D5" s="291" t="s">
        <v>668</v>
      </c>
      <c r="E5" s="292" t="s">
        <v>666</v>
      </c>
      <c r="F5" s="292" t="s">
        <v>798</v>
      </c>
      <c r="G5" s="291" t="s">
        <v>669</v>
      </c>
      <c r="H5" s="293" t="s">
        <v>670</v>
      </c>
      <c r="I5" s="291" t="s">
        <v>671</v>
      </c>
      <c r="J5" s="292" t="s">
        <v>799</v>
      </c>
      <c r="K5" s="292" t="s">
        <v>800</v>
      </c>
      <c r="L5" s="292" t="s">
        <v>801</v>
      </c>
      <c r="M5" s="294" t="s">
        <v>672</v>
      </c>
    </row>
    <row r="6" spans="1:13" s="49" customFormat="1" ht="39.75" customHeight="1" thickBot="1">
      <c r="A6" s="445" t="s">
        <v>525</v>
      </c>
      <c r="B6" s="446"/>
      <c r="C6" s="18" t="s">
        <v>526</v>
      </c>
      <c r="D6" s="19" t="s">
        <v>527</v>
      </c>
      <c r="E6" s="19" t="s">
        <v>528</v>
      </c>
      <c r="F6" s="19" t="s">
        <v>529</v>
      </c>
      <c r="G6" s="19" t="s">
        <v>530</v>
      </c>
      <c r="H6" s="20" t="s">
        <v>531</v>
      </c>
      <c r="I6" s="19" t="s">
        <v>532</v>
      </c>
      <c r="J6" s="19" t="s">
        <v>533</v>
      </c>
      <c r="K6" s="19" t="s">
        <v>534</v>
      </c>
      <c r="L6" s="19" t="s">
        <v>535</v>
      </c>
      <c r="M6" s="21" t="s">
        <v>536</v>
      </c>
    </row>
    <row r="7" spans="1:13" s="22" customFormat="1" ht="16.5" customHeight="1">
      <c r="A7" s="296" t="s">
        <v>738</v>
      </c>
      <c r="B7" s="297" t="s">
        <v>802</v>
      </c>
      <c r="C7" s="216">
        <f aca="true" t="shared" si="0" ref="C7:C38">SUM(D7:M7)</f>
        <v>21579914</v>
      </c>
      <c r="D7" s="217">
        <v>12886119</v>
      </c>
      <c r="E7" s="298" t="s">
        <v>714</v>
      </c>
      <c r="F7" s="217">
        <v>356551</v>
      </c>
      <c r="G7" s="217">
        <v>777922</v>
      </c>
      <c r="H7" s="299" t="s">
        <v>714</v>
      </c>
      <c r="I7" s="218">
        <v>505662</v>
      </c>
      <c r="J7" s="298" t="s">
        <v>714</v>
      </c>
      <c r="K7" s="217">
        <v>6667606</v>
      </c>
      <c r="L7" s="298" t="s">
        <v>714</v>
      </c>
      <c r="M7" s="287">
        <v>386054</v>
      </c>
    </row>
    <row r="8" spans="1:13" s="22" customFormat="1" ht="21.75" customHeight="1">
      <c r="A8" s="30">
        <v>1995</v>
      </c>
      <c r="B8" s="297" t="s">
        <v>722</v>
      </c>
      <c r="C8" s="216">
        <f t="shared" si="0"/>
        <v>24403513</v>
      </c>
      <c r="D8" s="217">
        <v>12886119</v>
      </c>
      <c r="E8" s="298" t="s">
        <v>723</v>
      </c>
      <c r="F8" s="217">
        <v>386551</v>
      </c>
      <c r="G8" s="217">
        <v>783057</v>
      </c>
      <c r="H8" s="299" t="s">
        <v>723</v>
      </c>
      <c r="I8" s="218">
        <v>1028875</v>
      </c>
      <c r="J8" s="298" t="s">
        <v>723</v>
      </c>
      <c r="K8" s="217">
        <v>8986406</v>
      </c>
      <c r="L8" s="298" t="s">
        <v>723</v>
      </c>
      <c r="M8" s="287">
        <v>332505</v>
      </c>
    </row>
    <row r="9" spans="1:13" s="22" customFormat="1" ht="6" customHeight="1">
      <c r="A9" s="30"/>
      <c r="B9" s="52"/>
      <c r="C9" s="216"/>
      <c r="D9" s="217"/>
      <c r="E9" s="217"/>
      <c r="F9" s="217"/>
      <c r="G9" s="217"/>
      <c r="H9" s="288"/>
      <c r="I9" s="218"/>
      <c r="J9" s="217"/>
      <c r="K9" s="217"/>
      <c r="L9" s="217"/>
      <c r="M9" s="287"/>
    </row>
    <row r="10" spans="1:13" s="22" customFormat="1" ht="16.5" customHeight="1">
      <c r="A10" s="30" t="s">
        <v>803</v>
      </c>
      <c r="B10" s="297" t="s">
        <v>725</v>
      </c>
      <c r="C10" s="216">
        <f t="shared" si="0"/>
        <v>23644751</v>
      </c>
      <c r="D10" s="217">
        <v>13652741</v>
      </c>
      <c r="E10" s="298" t="s">
        <v>723</v>
      </c>
      <c r="F10" s="217">
        <v>433814</v>
      </c>
      <c r="G10" s="217">
        <v>931214</v>
      </c>
      <c r="H10" s="299" t="s">
        <v>723</v>
      </c>
      <c r="I10" s="218">
        <v>819355</v>
      </c>
      <c r="J10" s="298" t="s">
        <v>723</v>
      </c>
      <c r="K10" s="217">
        <v>7555267</v>
      </c>
      <c r="L10" s="298" t="s">
        <v>723</v>
      </c>
      <c r="M10" s="287">
        <v>252360</v>
      </c>
    </row>
    <row r="11" spans="1:13" s="22" customFormat="1" ht="21.75" customHeight="1">
      <c r="A11" s="30">
        <v>1996</v>
      </c>
      <c r="B11" s="297" t="s">
        <v>722</v>
      </c>
      <c r="C11" s="216">
        <f t="shared" si="0"/>
        <v>23644751</v>
      </c>
      <c r="D11" s="217">
        <v>13652741</v>
      </c>
      <c r="E11" s="298" t="s">
        <v>723</v>
      </c>
      <c r="F11" s="217">
        <v>433814</v>
      </c>
      <c r="G11" s="217">
        <v>931214</v>
      </c>
      <c r="H11" s="299" t="s">
        <v>723</v>
      </c>
      <c r="I11" s="218">
        <v>819355</v>
      </c>
      <c r="J11" s="298" t="s">
        <v>723</v>
      </c>
      <c r="K11" s="217">
        <v>7555267</v>
      </c>
      <c r="L11" s="298" t="s">
        <v>723</v>
      </c>
      <c r="M11" s="287">
        <v>252360</v>
      </c>
    </row>
    <row r="12" spans="1:13" s="22" customFormat="1" ht="6" customHeight="1">
      <c r="A12" s="30"/>
      <c r="B12" s="52"/>
      <c r="C12" s="216"/>
      <c r="D12" s="217"/>
      <c r="E12" s="217"/>
      <c r="F12" s="217"/>
      <c r="G12" s="217"/>
      <c r="H12" s="288"/>
      <c r="I12" s="218"/>
      <c r="J12" s="218"/>
      <c r="K12" s="217"/>
      <c r="L12" s="218"/>
      <c r="M12" s="287"/>
    </row>
    <row r="13" spans="1:13" s="22" customFormat="1" ht="16.5" customHeight="1">
      <c r="A13" s="30" t="s">
        <v>804</v>
      </c>
      <c r="B13" s="297" t="s">
        <v>725</v>
      </c>
      <c r="C13" s="216">
        <f t="shared" si="0"/>
        <v>26549708</v>
      </c>
      <c r="D13" s="217">
        <v>12693527</v>
      </c>
      <c r="E13" s="298" t="s">
        <v>723</v>
      </c>
      <c r="F13" s="217">
        <v>533378</v>
      </c>
      <c r="G13" s="217">
        <v>847813</v>
      </c>
      <c r="H13" s="299" t="s">
        <v>723</v>
      </c>
      <c r="I13" s="217">
        <v>1176754</v>
      </c>
      <c r="J13" s="298" t="s">
        <v>723</v>
      </c>
      <c r="K13" s="217">
        <v>11074478</v>
      </c>
      <c r="L13" s="217">
        <v>100</v>
      </c>
      <c r="M13" s="287">
        <v>223658</v>
      </c>
    </row>
    <row r="14" spans="1:13" s="22" customFormat="1" ht="21.75" customHeight="1">
      <c r="A14" s="30">
        <v>1997</v>
      </c>
      <c r="B14" s="297" t="s">
        <v>722</v>
      </c>
      <c r="C14" s="216">
        <f t="shared" si="0"/>
        <v>26549708</v>
      </c>
      <c r="D14" s="217">
        <v>12693527</v>
      </c>
      <c r="E14" s="298" t="s">
        <v>723</v>
      </c>
      <c r="F14" s="217">
        <v>533378</v>
      </c>
      <c r="G14" s="217">
        <v>847813</v>
      </c>
      <c r="H14" s="299" t="s">
        <v>723</v>
      </c>
      <c r="I14" s="217">
        <v>1176754</v>
      </c>
      <c r="J14" s="298" t="s">
        <v>723</v>
      </c>
      <c r="K14" s="217">
        <v>11074478</v>
      </c>
      <c r="L14" s="217">
        <v>100</v>
      </c>
      <c r="M14" s="287">
        <v>223658</v>
      </c>
    </row>
    <row r="15" spans="1:13" s="22" customFormat="1" ht="6" customHeight="1">
      <c r="A15" s="30"/>
      <c r="B15" s="52"/>
      <c r="C15" s="216"/>
      <c r="D15" s="217"/>
      <c r="E15" s="217"/>
      <c r="F15" s="217"/>
      <c r="G15" s="217"/>
      <c r="H15" s="288"/>
      <c r="I15" s="217"/>
      <c r="J15" s="217"/>
      <c r="K15" s="217"/>
      <c r="L15" s="217"/>
      <c r="M15" s="287"/>
    </row>
    <row r="16" spans="1:13" s="22" customFormat="1" ht="16.5" customHeight="1">
      <c r="A16" s="30" t="s">
        <v>805</v>
      </c>
      <c r="B16" s="297" t="s">
        <v>725</v>
      </c>
      <c r="C16" s="216">
        <f t="shared" si="0"/>
        <v>27503768</v>
      </c>
      <c r="D16" s="217">
        <v>13954420</v>
      </c>
      <c r="E16" s="298" t="s">
        <v>723</v>
      </c>
      <c r="F16" s="217">
        <v>655166</v>
      </c>
      <c r="G16" s="217">
        <v>884659</v>
      </c>
      <c r="H16" s="299" t="s">
        <v>723</v>
      </c>
      <c r="I16" s="218">
        <v>1417301</v>
      </c>
      <c r="J16" s="298" t="s">
        <v>723</v>
      </c>
      <c r="K16" s="217">
        <v>10348109</v>
      </c>
      <c r="L16" s="218">
        <v>500</v>
      </c>
      <c r="M16" s="287">
        <v>243613</v>
      </c>
    </row>
    <row r="17" spans="1:13" s="22" customFormat="1" ht="21.75" customHeight="1">
      <c r="A17" s="30">
        <v>1998</v>
      </c>
      <c r="B17" s="297" t="s">
        <v>722</v>
      </c>
      <c r="C17" s="216">
        <f t="shared" si="0"/>
        <v>27503768</v>
      </c>
      <c r="D17" s="217">
        <v>13954420</v>
      </c>
      <c r="E17" s="298" t="s">
        <v>723</v>
      </c>
      <c r="F17" s="217">
        <v>655166</v>
      </c>
      <c r="G17" s="217">
        <v>884659</v>
      </c>
      <c r="H17" s="299" t="s">
        <v>723</v>
      </c>
      <c r="I17" s="218">
        <v>1417301</v>
      </c>
      <c r="J17" s="298" t="s">
        <v>723</v>
      </c>
      <c r="K17" s="217">
        <v>10348109</v>
      </c>
      <c r="L17" s="218">
        <v>500</v>
      </c>
      <c r="M17" s="287">
        <v>243613</v>
      </c>
    </row>
    <row r="18" spans="1:13" s="22" customFormat="1" ht="6" customHeight="1">
      <c r="A18" s="30"/>
      <c r="B18" s="52"/>
      <c r="C18" s="216"/>
      <c r="D18" s="217"/>
      <c r="E18" s="217"/>
      <c r="F18" s="217"/>
      <c r="G18" s="217"/>
      <c r="H18" s="288"/>
      <c r="I18" s="218"/>
      <c r="J18" s="217"/>
      <c r="K18" s="217"/>
      <c r="L18" s="218"/>
      <c r="M18" s="287"/>
    </row>
    <row r="19" spans="1:13" s="22" customFormat="1" ht="16.5" customHeight="1">
      <c r="A19" s="30" t="s">
        <v>806</v>
      </c>
      <c r="B19" s="297" t="s">
        <v>725</v>
      </c>
      <c r="C19" s="216">
        <f t="shared" si="0"/>
        <v>28425710</v>
      </c>
      <c r="D19" s="217">
        <v>15699717</v>
      </c>
      <c r="E19" s="298" t="s">
        <v>723</v>
      </c>
      <c r="F19" s="217">
        <v>811830</v>
      </c>
      <c r="G19" s="217">
        <v>964845</v>
      </c>
      <c r="H19" s="299" t="s">
        <v>723</v>
      </c>
      <c r="I19" s="217">
        <v>768254</v>
      </c>
      <c r="J19" s="298" t="s">
        <v>723</v>
      </c>
      <c r="K19" s="217">
        <v>10001118</v>
      </c>
      <c r="L19" s="217">
        <v>14000</v>
      </c>
      <c r="M19" s="287">
        <f>165946</f>
        <v>165946</v>
      </c>
    </row>
    <row r="20" spans="1:13" s="22" customFormat="1" ht="21.75" customHeight="1">
      <c r="A20" s="30">
        <v>1999</v>
      </c>
      <c r="B20" s="297" t="s">
        <v>722</v>
      </c>
      <c r="C20" s="216">
        <f t="shared" si="0"/>
        <v>29459781</v>
      </c>
      <c r="D20" s="217">
        <v>16896032</v>
      </c>
      <c r="E20" s="298" t="s">
        <v>723</v>
      </c>
      <c r="F20" s="217">
        <v>811891</v>
      </c>
      <c r="G20" s="217">
        <v>996197</v>
      </c>
      <c r="H20" s="299" t="s">
        <v>723</v>
      </c>
      <c r="I20" s="218">
        <v>1397835</v>
      </c>
      <c r="J20" s="298" t="s">
        <v>723</v>
      </c>
      <c r="K20" s="217">
        <v>8933855</v>
      </c>
      <c r="L20" s="218">
        <v>256430</v>
      </c>
      <c r="M20" s="287">
        <v>167541</v>
      </c>
    </row>
    <row r="21" spans="1:13" s="22" customFormat="1" ht="6" customHeight="1">
      <c r="A21" s="30"/>
      <c r="B21" s="52"/>
      <c r="C21" s="216"/>
      <c r="D21" s="217"/>
      <c r="E21" s="217"/>
      <c r="F21" s="217"/>
      <c r="G21" s="217"/>
      <c r="H21" s="288"/>
      <c r="I21" s="218"/>
      <c r="J21" s="218"/>
      <c r="K21" s="217"/>
      <c r="L21" s="218"/>
      <c r="M21" s="287"/>
    </row>
    <row r="22" spans="1:13" s="22" customFormat="1" ht="16.5" customHeight="1">
      <c r="A22" s="443" t="s">
        <v>726</v>
      </c>
      <c r="B22" s="297" t="s">
        <v>725</v>
      </c>
      <c r="C22" s="216">
        <f t="shared" si="0"/>
        <v>47043138</v>
      </c>
      <c r="D22" s="217">
        <v>29546452</v>
      </c>
      <c r="E22" s="298" t="s">
        <v>723</v>
      </c>
      <c r="F22" s="217">
        <v>1366526</v>
      </c>
      <c r="G22" s="217">
        <v>1480892</v>
      </c>
      <c r="H22" s="299" t="s">
        <v>723</v>
      </c>
      <c r="I22" s="218">
        <v>1082181</v>
      </c>
      <c r="J22" s="298" t="s">
        <v>723</v>
      </c>
      <c r="K22" s="217">
        <v>13107249</v>
      </c>
      <c r="L22" s="218">
        <v>171900</v>
      </c>
      <c r="M22" s="287">
        <v>287938</v>
      </c>
    </row>
    <row r="23" spans="1:13" s="22" customFormat="1" ht="21.75" customHeight="1">
      <c r="A23" s="444"/>
      <c r="B23" s="297" t="s">
        <v>722</v>
      </c>
      <c r="C23" s="216">
        <f t="shared" si="0"/>
        <v>47043138</v>
      </c>
      <c r="D23" s="217">
        <v>29546452</v>
      </c>
      <c r="E23" s="298" t="s">
        <v>723</v>
      </c>
      <c r="F23" s="217">
        <v>1366526</v>
      </c>
      <c r="G23" s="217">
        <v>1480892</v>
      </c>
      <c r="H23" s="299" t="s">
        <v>723</v>
      </c>
      <c r="I23" s="218">
        <v>1082181</v>
      </c>
      <c r="J23" s="298" t="s">
        <v>723</v>
      </c>
      <c r="K23" s="217">
        <v>13107249</v>
      </c>
      <c r="L23" s="218">
        <v>171900</v>
      </c>
      <c r="M23" s="287">
        <v>287938</v>
      </c>
    </row>
    <row r="24" spans="1:13" s="22" customFormat="1" ht="6" customHeight="1">
      <c r="A24" s="30"/>
      <c r="B24" s="52"/>
      <c r="C24" s="216"/>
      <c r="D24" s="217"/>
      <c r="E24" s="217"/>
      <c r="F24" s="217"/>
      <c r="G24" s="217"/>
      <c r="H24" s="288"/>
      <c r="I24" s="218"/>
      <c r="J24" s="217"/>
      <c r="K24" s="217"/>
      <c r="L24" s="218"/>
      <c r="M24" s="287"/>
    </row>
    <row r="25" spans="1:13" s="22" customFormat="1" ht="16.5" customHeight="1">
      <c r="A25" s="30" t="s">
        <v>807</v>
      </c>
      <c r="B25" s="297" t="s">
        <v>725</v>
      </c>
      <c r="C25" s="216">
        <f t="shared" si="0"/>
        <v>30233114</v>
      </c>
      <c r="D25" s="217">
        <v>20394872</v>
      </c>
      <c r="E25" s="298" t="s">
        <v>723</v>
      </c>
      <c r="F25" s="217">
        <v>1490280</v>
      </c>
      <c r="G25" s="217">
        <f>1122892-124276</f>
        <v>998616</v>
      </c>
      <c r="H25" s="288">
        <v>124276</v>
      </c>
      <c r="I25" s="218">
        <v>118758</v>
      </c>
      <c r="J25" s="298" t="s">
        <v>723</v>
      </c>
      <c r="K25" s="217">
        <v>6669677</v>
      </c>
      <c r="L25" s="218">
        <v>4100</v>
      </c>
      <c r="M25" s="287">
        <v>432535</v>
      </c>
    </row>
    <row r="26" spans="1:13" s="22" customFormat="1" ht="21.75" customHeight="1">
      <c r="A26" s="30">
        <v>2001</v>
      </c>
      <c r="B26" s="297" t="s">
        <v>722</v>
      </c>
      <c r="C26" s="216">
        <f t="shared" si="0"/>
        <v>30233114</v>
      </c>
      <c r="D26" s="217">
        <v>20394872</v>
      </c>
      <c r="E26" s="298" t="s">
        <v>723</v>
      </c>
      <c r="F26" s="217">
        <v>1490280</v>
      </c>
      <c r="G26" s="217">
        <f>1122892-124276</f>
        <v>998616</v>
      </c>
      <c r="H26" s="288">
        <v>124276</v>
      </c>
      <c r="I26" s="218">
        <v>118758</v>
      </c>
      <c r="J26" s="298" t="s">
        <v>723</v>
      </c>
      <c r="K26" s="217">
        <v>6669677</v>
      </c>
      <c r="L26" s="218">
        <v>4100</v>
      </c>
      <c r="M26" s="287">
        <v>432535</v>
      </c>
    </row>
    <row r="27" spans="1:13" s="22" customFormat="1" ht="6" customHeight="1">
      <c r="A27" s="30"/>
      <c r="B27" s="52"/>
      <c r="C27" s="216"/>
      <c r="D27" s="217"/>
      <c r="E27" s="217"/>
      <c r="F27" s="217"/>
      <c r="G27" s="217"/>
      <c r="H27" s="288"/>
      <c r="I27" s="218"/>
      <c r="J27" s="217"/>
      <c r="K27" s="217"/>
      <c r="L27" s="218"/>
      <c r="M27" s="287"/>
    </row>
    <row r="28" spans="1:13" s="22" customFormat="1" ht="16.5" customHeight="1">
      <c r="A28" s="30" t="s">
        <v>808</v>
      </c>
      <c r="B28" s="297" t="s">
        <v>725</v>
      </c>
      <c r="C28" s="216">
        <f t="shared" si="0"/>
        <v>31669755</v>
      </c>
      <c r="D28" s="217">
        <v>18047692</v>
      </c>
      <c r="E28" s="298" t="s">
        <v>723</v>
      </c>
      <c r="F28" s="217">
        <v>1449669</v>
      </c>
      <c r="G28" s="217">
        <f>1067164-167340</f>
        <v>899824</v>
      </c>
      <c r="H28" s="288">
        <v>167340</v>
      </c>
      <c r="I28" s="218">
        <v>110386</v>
      </c>
      <c r="J28" s="298" t="s">
        <v>723</v>
      </c>
      <c r="K28" s="217">
        <v>10561429</v>
      </c>
      <c r="L28" s="218">
        <v>76026</v>
      </c>
      <c r="M28" s="287">
        <v>357389</v>
      </c>
    </row>
    <row r="29" spans="1:13" s="22" customFormat="1" ht="21.75" customHeight="1">
      <c r="A29" s="30">
        <v>2002</v>
      </c>
      <c r="B29" s="297" t="s">
        <v>722</v>
      </c>
      <c r="C29" s="216">
        <f t="shared" si="0"/>
        <v>37537151</v>
      </c>
      <c r="D29" s="217">
        <v>20753553</v>
      </c>
      <c r="E29" s="298" t="s">
        <v>723</v>
      </c>
      <c r="F29" s="217">
        <v>1450973</v>
      </c>
      <c r="G29" s="217">
        <f>1073824-167340</f>
        <v>906484</v>
      </c>
      <c r="H29" s="288">
        <v>167340</v>
      </c>
      <c r="I29" s="218">
        <v>871274</v>
      </c>
      <c r="J29" s="298" t="s">
        <v>723</v>
      </c>
      <c r="K29" s="217">
        <v>11989289</v>
      </c>
      <c r="L29" s="218">
        <v>75769</v>
      </c>
      <c r="M29" s="287">
        <v>1322469</v>
      </c>
    </row>
    <row r="30" spans="1:13" s="22" customFormat="1" ht="6" customHeight="1">
      <c r="A30" s="30"/>
      <c r="B30" s="52"/>
      <c r="C30" s="216"/>
      <c r="D30" s="217"/>
      <c r="E30" s="217"/>
      <c r="F30" s="217"/>
      <c r="G30" s="217"/>
      <c r="H30" s="288"/>
      <c r="I30" s="218"/>
      <c r="J30" s="218"/>
      <c r="K30" s="217"/>
      <c r="L30" s="218"/>
      <c r="M30" s="287"/>
    </row>
    <row r="31" spans="1:13" s="22" customFormat="1" ht="16.5" customHeight="1">
      <c r="A31" s="30" t="s">
        <v>809</v>
      </c>
      <c r="B31" s="297" t="s">
        <v>725</v>
      </c>
      <c r="C31" s="216">
        <f>SUM(D31:M31)</f>
        <v>36186493</v>
      </c>
      <c r="D31" s="217">
        <v>19026928</v>
      </c>
      <c r="E31" s="298" t="s">
        <v>723</v>
      </c>
      <c r="F31" s="217">
        <v>1431364</v>
      </c>
      <c r="G31" s="217">
        <f>1450571-635000</f>
        <v>815571</v>
      </c>
      <c r="H31" s="288">
        <v>635000</v>
      </c>
      <c r="I31" s="218">
        <v>54891</v>
      </c>
      <c r="J31" s="298" t="s">
        <v>723</v>
      </c>
      <c r="K31" s="217">
        <v>12900723</v>
      </c>
      <c r="L31" s="218">
        <v>135224</v>
      </c>
      <c r="M31" s="287">
        <v>1186792</v>
      </c>
    </row>
    <row r="32" spans="1:13" s="22" customFormat="1" ht="21.75" customHeight="1">
      <c r="A32" s="30">
        <v>2003</v>
      </c>
      <c r="B32" s="297" t="s">
        <v>722</v>
      </c>
      <c r="C32" s="216">
        <f>SUM(D32:M32)</f>
        <v>36186493</v>
      </c>
      <c r="D32" s="217">
        <v>19026928</v>
      </c>
      <c r="E32" s="298" t="s">
        <v>723</v>
      </c>
      <c r="F32" s="217">
        <v>1431364</v>
      </c>
      <c r="G32" s="217">
        <v>815571</v>
      </c>
      <c r="H32" s="288">
        <v>635000</v>
      </c>
      <c r="I32" s="218">
        <v>54891</v>
      </c>
      <c r="J32" s="298" t="s">
        <v>723</v>
      </c>
      <c r="K32" s="217">
        <v>12900723</v>
      </c>
      <c r="L32" s="218">
        <v>135224</v>
      </c>
      <c r="M32" s="287">
        <v>1186792</v>
      </c>
    </row>
    <row r="33" spans="1:13" s="22" customFormat="1" ht="6" customHeight="1">
      <c r="A33" s="30"/>
      <c r="B33" s="52"/>
      <c r="C33" s="216"/>
      <c r="D33" s="217"/>
      <c r="E33" s="217"/>
      <c r="F33" s="217"/>
      <c r="G33" s="217"/>
      <c r="H33" s="288"/>
      <c r="I33" s="218"/>
      <c r="J33" s="217"/>
      <c r="K33" s="217"/>
      <c r="L33" s="218"/>
      <c r="M33" s="287"/>
    </row>
    <row r="34" spans="1:13" s="22" customFormat="1" ht="16.5" customHeight="1">
      <c r="A34" s="30" t="s">
        <v>810</v>
      </c>
      <c r="B34" s="297" t="s">
        <v>725</v>
      </c>
      <c r="C34" s="216">
        <f>SUM(D34:M34)</f>
        <v>43443738</v>
      </c>
      <c r="D34" s="217">
        <v>20114834</v>
      </c>
      <c r="E34" s="298" t="s">
        <v>733</v>
      </c>
      <c r="F34" s="217">
        <v>1384410</v>
      </c>
      <c r="G34" s="217">
        <v>1127760</v>
      </c>
      <c r="H34" s="299" t="s">
        <v>733</v>
      </c>
      <c r="I34" s="218">
        <v>1888762</v>
      </c>
      <c r="J34" s="298" t="s">
        <v>733</v>
      </c>
      <c r="K34" s="217">
        <v>17715992</v>
      </c>
      <c r="L34" s="218">
        <v>57080</v>
      </c>
      <c r="M34" s="287">
        <v>1154900</v>
      </c>
    </row>
    <row r="35" spans="1:13" s="22" customFormat="1" ht="21.75" customHeight="1">
      <c r="A35" s="30">
        <v>2004</v>
      </c>
      <c r="B35" s="297" t="s">
        <v>722</v>
      </c>
      <c r="C35" s="216">
        <f>SUM(D35:M35)</f>
        <v>43443738</v>
      </c>
      <c r="D35" s="217">
        <v>20114834</v>
      </c>
      <c r="E35" s="298" t="s">
        <v>733</v>
      </c>
      <c r="F35" s="217">
        <v>1384410</v>
      </c>
      <c r="G35" s="217">
        <v>1127760</v>
      </c>
      <c r="H35" s="299" t="s">
        <v>733</v>
      </c>
      <c r="I35" s="218">
        <v>1888762</v>
      </c>
      <c r="J35" s="298" t="s">
        <v>733</v>
      </c>
      <c r="K35" s="217">
        <v>17715992</v>
      </c>
      <c r="L35" s="218">
        <v>57080</v>
      </c>
      <c r="M35" s="287">
        <v>1154900</v>
      </c>
    </row>
    <row r="36" spans="1:13" s="22" customFormat="1" ht="6" customHeight="1">
      <c r="A36" s="30"/>
      <c r="B36" s="52"/>
      <c r="C36" s="216"/>
      <c r="D36" s="217"/>
      <c r="E36" s="217"/>
      <c r="F36" s="217"/>
      <c r="G36" s="217"/>
      <c r="H36" s="288"/>
      <c r="I36" s="218"/>
      <c r="J36" s="217"/>
      <c r="K36" s="217"/>
      <c r="L36" s="218"/>
      <c r="M36" s="287"/>
    </row>
    <row r="37" spans="1:13" s="22" customFormat="1" ht="16.5" customHeight="1">
      <c r="A37" s="30" t="s">
        <v>811</v>
      </c>
      <c r="B37" s="297" t="s">
        <v>725</v>
      </c>
      <c r="C37" s="216">
        <f t="shared" si="0"/>
        <v>43905960</v>
      </c>
      <c r="D37" s="217">
        <v>21889168</v>
      </c>
      <c r="E37" s="298" t="s">
        <v>723</v>
      </c>
      <c r="F37" s="217">
        <v>1152227</v>
      </c>
      <c r="G37" s="217">
        <v>1287514</v>
      </c>
      <c r="H37" s="299" t="s">
        <v>723</v>
      </c>
      <c r="I37" s="218">
        <v>1681624</v>
      </c>
      <c r="J37" s="298" t="s">
        <v>723</v>
      </c>
      <c r="K37" s="217">
        <v>17638965</v>
      </c>
      <c r="L37" s="218">
        <v>93171</v>
      </c>
      <c r="M37" s="287">
        <f>19000+144291</f>
        <v>163291</v>
      </c>
    </row>
    <row r="38" spans="1:13" s="22" customFormat="1" ht="21.75" customHeight="1" thickBot="1">
      <c r="A38" s="44">
        <v>2005</v>
      </c>
      <c r="B38" s="300" t="s">
        <v>722</v>
      </c>
      <c r="C38" s="221">
        <f t="shared" si="0"/>
        <v>43905960</v>
      </c>
      <c r="D38" s="222">
        <v>21889168</v>
      </c>
      <c r="E38" s="301" t="s">
        <v>723</v>
      </c>
      <c r="F38" s="222">
        <v>1152227</v>
      </c>
      <c r="G38" s="222">
        <v>1287514</v>
      </c>
      <c r="H38" s="302" t="s">
        <v>723</v>
      </c>
      <c r="I38" s="224">
        <v>1681624</v>
      </c>
      <c r="J38" s="301" t="s">
        <v>723</v>
      </c>
      <c r="K38" s="222">
        <v>17638965</v>
      </c>
      <c r="L38" s="224">
        <v>93171</v>
      </c>
      <c r="M38" s="289">
        <v>163291</v>
      </c>
    </row>
    <row r="39" spans="1:8" s="285" customFormat="1" ht="12.75">
      <c r="A39" s="284" t="s">
        <v>816</v>
      </c>
      <c r="H39" s="286" t="s">
        <v>819</v>
      </c>
    </row>
  </sheetData>
  <mergeCells count="7">
    <mergeCell ref="A22:A23"/>
    <mergeCell ref="H2:M2"/>
    <mergeCell ref="A6:B6"/>
    <mergeCell ref="A3:G3"/>
    <mergeCell ref="H3:M3"/>
    <mergeCell ref="A2:G2"/>
    <mergeCell ref="A5:B5"/>
  </mergeCells>
  <printOptions/>
  <pageMargins left="1.141732283464567" right="1.141732283464567" top="1.5748031496062993" bottom="1.5748031496062993" header="0.5118110236220472" footer="0.9055118110236221"/>
  <pageSetup firstPageNumber="282" useFirstPageNumber="1" horizontalDpi="96" verticalDpi="96" orientation="portrait" paperSize="9" r:id="rId1"/>
  <headerFooter alignWithMargins="0">
    <oddFooter>&amp;C&amp;"超研澤中圓,Regula"&amp;11‧&amp;"Times New Roman,標準"&amp;P&amp;"超研澤中圓,Regula"‧</oddFooter>
  </headerFooter>
</worksheet>
</file>

<file path=xl/worksheets/sheet4.xml><?xml version="1.0" encoding="utf-8"?>
<worksheet xmlns="http://schemas.openxmlformats.org/spreadsheetml/2006/main" xmlns:r="http://schemas.openxmlformats.org/officeDocument/2006/relationships">
  <sheetPr>
    <tabColor indexed="29"/>
  </sheetPr>
  <dimension ref="A1:L26"/>
  <sheetViews>
    <sheetView showGridLines="0" zoomScale="120" zoomScaleNormal="120" workbookViewId="0" topLeftCell="A1">
      <selection activeCell="A1" sqref="A1"/>
    </sheetView>
  </sheetViews>
  <sheetFormatPr defaultColWidth="9.00390625" defaultRowHeight="16.5"/>
  <cols>
    <col min="1" max="1" width="16.625" style="14" customWidth="1"/>
    <col min="2" max="3" width="10.625" style="14" customWidth="1"/>
    <col min="4" max="4" width="14.375" style="14" customWidth="1"/>
    <col min="5" max="5" width="12.625" style="14" customWidth="1"/>
    <col min="6" max="6" width="11.125" style="14" customWidth="1"/>
    <col min="7" max="7" width="13.125" style="14" customWidth="1"/>
    <col min="8" max="8" width="12.375" style="14" customWidth="1"/>
    <col min="9" max="9" width="13.125" style="14" customWidth="1"/>
    <col min="10" max="12" width="12.375" style="14" customWidth="1"/>
    <col min="13" max="16384" width="9.00390625" style="14" customWidth="1"/>
  </cols>
  <sheetData>
    <row r="1" spans="1:12" s="15" customFormat="1" ht="19.5" customHeight="1">
      <c r="A1" s="12" t="s">
        <v>675</v>
      </c>
      <c r="B1" s="27"/>
      <c r="L1" s="53" t="s">
        <v>696</v>
      </c>
    </row>
    <row r="2" spans="1:12" s="17" customFormat="1" ht="19.5" customHeight="1">
      <c r="A2" s="442" t="s">
        <v>168</v>
      </c>
      <c r="B2" s="441"/>
      <c r="C2" s="441"/>
      <c r="D2" s="441"/>
      <c r="E2" s="441"/>
      <c r="F2" s="441"/>
      <c r="G2" s="449" t="s">
        <v>169</v>
      </c>
      <c r="H2" s="441"/>
      <c r="I2" s="441"/>
      <c r="J2" s="441"/>
      <c r="K2" s="441"/>
      <c r="L2" s="441"/>
    </row>
    <row r="3" spans="1:12" s="17" customFormat="1" ht="15" customHeight="1">
      <c r="A3" s="442" t="s">
        <v>664</v>
      </c>
      <c r="B3" s="441"/>
      <c r="C3" s="441"/>
      <c r="D3" s="441"/>
      <c r="E3" s="441"/>
      <c r="F3" s="441"/>
      <c r="G3" s="441" t="s">
        <v>665</v>
      </c>
      <c r="H3" s="441"/>
      <c r="I3" s="441"/>
      <c r="J3" s="441"/>
      <c r="K3" s="441"/>
      <c r="L3" s="441"/>
    </row>
    <row r="4" spans="1:12" s="15" customFormat="1" ht="15" customHeight="1" thickBot="1">
      <c r="A4" s="2"/>
      <c r="B4" s="16"/>
      <c r="C4" s="16"/>
      <c r="D4" s="16"/>
      <c r="E4" s="16"/>
      <c r="F4" s="24" t="s">
        <v>172</v>
      </c>
      <c r="G4" s="16"/>
      <c r="H4" s="16"/>
      <c r="I4" s="16"/>
      <c r="J4" s="45"/>
      <c r="K4" s="45"/>
      <c r="L4" s="26" t="s">
        <v>173</v>
      </c>
    </row>
    <row r="5" spans="1:12" s="15" customFormat="1" ht="42" customHeight="1">
      <c r="A5" s="241" t="s">
        <v>821</v>
      </c>
      <c r="B5" s="252" t="s">
        <v>667</v>
      </c>
      <c r="C5" s="303" t="s">
        <v>668</v>
      </c>
      <c r="D5" s="304" t="s">
        <v>666</v>
      </c>
      <c r="E5" s="304" t="s">
        <v>151</v>
      </c>
      <c r="F5" s="303" t="s">
        <v>669</v>
      </c>
      <c r="G5" s="305" t="s">
        <v>670</v>
      </c>
      <c r="H5" s="303" t="s">
        <v>671</v>
      </c>
      <c r="I5" s="304" t="s">
        <v>152</v>
      </c>
      <c r="J5" s="304" t="s">
        <v>153</v>
      </c>
      <c r="K5" s="304" t="s">
        <v>154</v>
      </c>
      <c r="L5" s="282" t="s">
        <v>672</v>
      </c>
    </row>
    <row r="6" spans="1:12" s="38" customFormat="1" ht="42" customHeight="1" thickBot="1">
      <c r="A6" s="50" t="s">
        <v>676</v>
      </c>
      <c r="B6" s="40" t="s">
        <v>632</v>
      </c>
      <c r="C6" s="41" t="s">
        <v>646</v>
      </c>
      <c r="D6" s="41" t="s">
        <v>537</v>
      </c>
      <c r="E6" s="41" t="s">
        <v>647</v>
      </c>
      <c r="F6" s="41" t="s">
        <v>636</v>
      </c>
      <c r="G6" s="13" t="s">
        <v>648</v>
      </c>
      <c r="H6" s="41" t="s">
        <v>649</v>
      </c>
      <c r="I6" s="41" t="s">
        <v>650</v>
      </c>
      <c r="J6" s="41" t="s">
        <v>651</v>
      </c>
      <c r="K6" s="41" t="s">
        <v>652</v>
      </c>
      <c r="L6" s="42" t="s">
        <v>653</v>
      </c>
    </row>
    <row r="7" spans="1:12" s="6" customFormat="1" ht="36.75" customHeight="1">
      <c r="A7" s="306" t="s">
        <v>155</v>
      </c>
      <c r="B7" s="94">
        <f>SUM(C7:L7)</f>
        <v>27407662</v>
      </c>
      <c r="C7" s="95">
        <v>16463788</v>
      </c>
      <c r="D7" s="307" t="s">
        <v>673</v>
      </c>
      <c r="E7" s="4">
        <v>507964</v>
      </c>
      <c r="F7" s="95">
        <v>884177</v>
      </c>
      <c r="G7" s="309" t="s">
        <v>673</v>
      </c>
      <c r="H7" s="96">
        <v>1670268</v>
      </c>
      <c r="I7" s="307" t="s">
        <v>673</v>
      </c>
      <c r="J7" s="95">
        <v>7544925</v>
      </c>
      <c r="K7" s="96">
        <v>5</v>
      </c>
      <c r="L7" s="97">
        <v>336535</v>
      </c>
    </row>
    <row r="8" spans="1:12" s="15" customFormat="1" ht="12" customHeight="1">
      <c r="A8" s="46"/>
      <c r="B8" s="3"/>
      <c r="C8" s="4"/>
      <c r="D8" s="4"/>
      <c r="E8" s="4"/>
      <c r="F8" s="4"/>
      <c r="G8" s="10"/>
      <c r="H8" s="4"/>
      <c r="I8" s="4"/>
      <c r="J8" s="4"/>
      <c r="K8" s="4"/>
      <c r="L8" s="5"/>
    </row>
    <row r="9" spans="1:12" s="6" customFormat="1" ht="36.75" customHeight="1">
      <c r="A9" s="39" t="s">
        <v>156</v>
      </c>
      <c r="B9" s="94">
        <f>SUM(C9:L9)</f>
        <v>22444717</v>
      </c>
      <c r="C9" s="95">
        <v>12926847</v>
      </c>
      <c r="D9" s="307" t="s">
        <v>673</v>
      </c>
      <c r="E9" s="4">
        <v>609485</v>
      </c>
      <c r="F9" s="95">
        <v>839307</v>
      </c>
      <c r="G9" s="309" t="s">
        <v>673</v>
      </c>
      <c r="H9" s="96">
        <v>1100948</v>
      </c>
      <c r="I9" s="307" t="s">
        <v>673</v>
      </c>
      <c r="J9" s="95">
        <v>6667352</v>
      </c>
      <c r="K9" s="96">
        <v>100</v>
      </c>
      <c r="L9" s="97">
        <v>300678</v>
      </c>
    </row>
    <row r="10" spans="1:12" s="15" customFormat="1" ht="12" customHeight="1">
      <c r="A10" s="46"/>
      <c r="B10" s="3"/>
      <c r="C10" s="4"/>
      <c r="D10" s="4"/>
      <c r="E10" s="4"/>
      <c r="F10" s="4"/>
      <c r="G10" s="10"/>
      <c r="H10" s="4"/>
      <c r="I10" s="4"/>
      <c r="J10" s="4"/>
      <c r="K10" s="4"/>
      <c r="L10" s="5"/>
    </row>
    <row r="11" spans="1:12" s="6" customFormat="1" ht="36.75" customHeight="1">
      <c r="A11" s="39" t="s">
        <v>157</v>
      </c>
      <c r="B11" s="94">
        <f>SUM(C11:L11)</f>
        <v>27901821</v>
      </c>
      <c r="C11" s="95">
        <v>16119568</v>
      </c>
      <c r="D11" s="307" t="s">
        <v>158</v>
      </c>
      <c r="E11" s="4">
        <v>751844</v>
      </c>
      <c r="F11" s="95">
        <v>865873</v>
      </c>
      <c r="G11" s="309" t="s">
        <v>158</v>
      </c>
      <c r="H11" s="95">
        <v>1209842</v>
      </c>
      <c r="I11" s="307" t="s">
        <v>158</v>
      </c>
      <c r="J11" s="95">
        <v>8678669</v>
      </c>
      <c r="K11" s="95">
        <v>2235</v>
      </c>
      <c r="L11" s="97">
        <v>273790</v>
      </c>
    </row>
    <row r="12" spans="1:12" s="15" customFormat="1" ht="12" customHeight="1">
      <c r="A12" s="46"/>
      <c r="B12" s="3"/>
      <c r="C12" s="4"/>
      <c r="D12" s="4"/>
      <c r="E12" s="4"/>
      <c r="F12" s="4"/>
      <c r="G12" s="10"/>
      <c r="H12" s="4"/>
      <c r="I12" s="4"/>
      <c r="J12" s="4"/>
      <c r="K12" s="4"/>
      <c r="L12" s="5"/>
    </row>
    <row r="13" spans="1:12" s="6" customFormat="1" ht="36.75" customHeight="1">
      <c r="A13" s="39" t="s">
        <v>159</v>
      </c>
      <c r="B13" s="94">
        <f>SUM(C13:L13)</f>
        <v>28243311</v>
      </c>
      <c r="C13" s="95">
        <v>15507784</v>
      </c>
      <c r="D13" s="307" t="s">
        <v>158</v>
      </c>
      <c r="E13" s="4">
        <v>959416</v>
      </c>
      <c r="F13" s="95">
        <v>906975</v>
      </c>
      <c r="G13" s="309" t="s">
        <v>158</v>
      </c>
      <c r="H13" s="96">
        <v>1609724</v>
      </c>
      <c r="I13" s="307" t="s">
        <v>158</v>
      </c>
      <c r="J13" s="95">
        <v>8992651</v>
      </c>
      <c r="K13" s="96">
        <v>2912</v>
      </c>
      <c r="L13" s="97">
        <v>263849</v>
      </c>
    </row>
    <row r="14" spans="1:12" s="15" customFormat="1" ht="12" customHeight="1">
      <c r="A14" s="46"/>
      <c r="B14" s="3"/>
      <c r="C14" s="4"/>
      <c r="D14" s="4"/>
      <c r="E14" s="4"/>
      <c r="F14" s="4"/>
      <c r="G14" s="10"/>
      <c r="H14" s="4"/>
      <c r="I14" s="4"/>
      <c r="J14" s="4"/>
      <c r="K14" s="4"/>
      <c r="L14" s="5"/>
    </row>
    <row r="15" spans="1:12" s="6" customFormat="1" ht="36.75" customHeight="1">
      <c r="A15" s="39" t="s">
        <v>160</v>
      </c>
      <c r="B15" s="94">
        <f>SUM(C15:L15)</f>
        <v>29631783</v>
      </c>
      <c r="C15" s="95">
        <v>16661328</v>
      </c>
      <c r="D15" s="307" t="s">
        <v>158</v>
      </c>
      <c r="E15" s="4">
        <v>1052551</v>
      </c>
      <c r="F15" s="95">
        <v>963023</v>
      </c>
      <c r="G15" s="309" t="s">
        <v>158</v>
      </c>
      <c r="H15" s="95">
        <v>1585242</v>
      </c>
      <c r="I15" s="307" t="s">
        <v>158</v>
      </c>
      <c r="J15" s="95">
        <v>8856864</v>
      </c>
      <c r="K15" s="95">
        <v>310282</v>
      </c>
      <c r="L15" s="98">
        <v>202493</v>
      </c>
    </row>
    <row r="16" spans="1:12" s="15" customFormat="1" ht="12" customHeight="1">
      <c r="A16" s="46"/>
      <c r="B16" s="3"/>
      <c r="C16" s="4"/>
      <c r="D16" s="4"/>
      <c r="E16" s="4"/>
      <c r="F16" s="4"/>
      <c r="G16" s="10"/>
      <c r="H16" s="4"/>
      <c r="I16" s="4"/>
      <c r="J16" s="4"/>
      <c r="K16" s="4"/>
      <c r="L16" s="5"/>
    </row>
    <row r="17" spans="1:12" s="6" customFormat="1" ht="36.75" customHeight="1">
      <c r="A17" s="39" t="s">
        <v>161</v>
      </c>
      <c r="B17" s="94">
        <f>SUM(C17:L17)</f>
        <v>38471513</v>
      </c>
      <c r="C17" s="95">
        <v>26103910</v>
      </c>
      <c r="D17" s="307" t="s">
        <v>158</v>
      </c>
      <c r="E17" s="4">
        <v>1791661</v>
      </c>
      <c r="F17" s="95">
        <v>1471069</v>
      </c>
      <c r="G17" s="309" t="s">
        <v>158</v>
      </c>
      <c r="H17" s="96">
        <v>1890884</v>
      </c>
      <c r="I17" s="307" t="s">
        <v>158</v>
      </c>
      <c r="J17" s="95">
        <v>6294174</v>
      </c>
      <c r="K17" s="96">
        <v>201293</v>
      </c>
      <c r="L17" s="97">
        <v>718522</v>
      </c>
    </row>
    <row r="18" spans="1:12" s="15" customFormat="1" ht="12" customHeight="1">
      <c r="A18" s="46"/>
      <c r="B18" s="3"/>
      <c r="C18" s="4"/>
      <c r="D18" s="4"/>
      <c r="E18" s="4"/>
      <c r="F18" s="4"/>
      <c r="G18" s="10"/>
      <c r="H18" s="4"/>
      <c r="I18" s="4"/>
      <c r="J18" s="4"/>
      <c r="K18" s="4"/>
      <c r="L18" s="5"/>
    </row>
    <row r="19" spans="1:12" s="6" customFormat="1" ht="36.75" customHeight="1">
      <c r="A19" s="39" t="s">
        <v>162</v>
      </c>
      <c r="B19" s="94">
        <f>SUM(C19:L19)</f>
        <v>21720788</v>
      </c>
      <c r="C19" s="95">
        <v>13455987</v>
      </c>
      <c r="D19" s="307" t="s">
        <v>158</v>
      </c>
      <c r="E19" s="4">
        <v>1472139</v>
      </c>
      <c r="F19" s="95">
        <v>817663</v>
      </c>
      <c r="G19" s="309" t="s">
        <v>158</v>
      </c>
      <c r="H19" s="96">
        <v>179846</v>
      </c>
      <c r="I19" s="307" t="s">
        <v>158</v>
      </c>
      <c r="J19" s="95">
        <v>5358065</v>
      </c>
      <c r="K19" s="96">
        <v>62767</v>
      </c>
      <c r="L19" s="97">
        <v>374321</v>
      </c>
    </row>
    <row r="20" spans="1:12" s="15" customFormat="1" ht="12" customHeight="1">
      <c r="A20" s="46"/>
      <c r="B20" s="3"/>
      <c r="C20" s="4"/>
      <c r="D20" s="4"/>
      <c r="E20" s="4"/>
      <c r="F20" s="4"/>
      <c r="G20" s="10"/>
      <c r="H20" s="4"/>
      <c r="I20" s="4"/>
      <c r="J20" s="4"/>
      <c r="K20" s="4"/>
      <c r="L20" s="5"/>
    </row>
    <row r="21" spans="1:12" s="6" customFormat="1" ht="36.75" customHeight="1">
      <c r="A21" s="39" t="s">
        <v>163</v>
      </c>
      <c r="B21" s="94">
        <f>SUM(C21:L21)</f>
        <v>32289367.648689996</v>
      </c>
      <c r="C21" s="95">
        <f>16426390430/1000</f>
        <v>16426390.43</v>
      </c>
      <c r="D21" s="307" t="s">
        <v>158</v>
      </c>
      <c r="E21" s="95">
        <f>1522783880/1000</f>
        <v>1522783.88</v>
      </c>
      <c r="F21" s="95">
        <f>(1027249206-167340000)/1000</f>
        <v>859909.206</v>
      </c>
      <c r="G21" s="105">
        <f>167340000/1000</f>
        <v>167340</v>
      </c>
      <c r="H21" s="96">
        <f>465893895/1000</f>
        <v>465893.895</v>
      </c>
      <c r="I21" s="307" t="s">
        <v>158</v>
      </c>
      <c r="J21" s="95">
        <f>10993714399/1000</f>
        <v>10993714.399</v>
      </c>
      <c r="K21" s="96">
        <f>151711887/1000</f>
        <v>151711.887</v>
      </c>
      <c r="L21" s="97">
        <f>1701623951.69/1000</f>
        <v>1701623.95169</v>
      </c>
    </row>
    <row r="22" spans="1:12" s="15" customFormat="1" ht="12" customHeight="1">
      <c r="A22" s="46"/>
      <c r="B22" s="3"/>
      <c r="C22" s="4"/>
      <c r="D22" s="4"/>
      <c r="E22" s="4"/>
      <c r="F22" s="4"/>
      <c r="G22" s="10"/>
      <c r="H22" s="4"/>
      <c r="I22" s="4"/>
      <c r="J22" s="4"/>
      <c r="K22" s="4"/>
      <c r="L22" s="5"/>
    </row>
    <row r="23" spans="1:12" s="6" customFormat="1" ht="36.75" customHeight="1">
      <c r="A23" s="39" t="s">
        <v>164</v>
      </c>
      <c r="B23" s="94">
        <f>SUM(C23:L23)</f>
        <v>34213299.8209</v>
      </c>
      <c r="C23" s="95">
        <v>18378670.628</v>
      </c>
      <c r="D23" s="307" t="s">
        <v>733</v>
      </c>
      <c r="E23" s="95">
        <v>1593399.3089</v>
      </c>
      <c r="F23" s="95">
        <f>792855.124+53914.858</f>
        <v>846769.982</v>
      </c>
      <c r="G23" s="105">
        <v>238227</v>
      </c>
      <c r="H23" s="96">
        <v>314113.09</v>
      </c>
      <c r="I23" s="307" t="s">
        <v>733</v>
      </c>
      <c r="J23" s="95">
        <v>11456557.135</v>
      </c>
      <c r="K23" s="96">
        <v>144422</v>
      </c>
      <c r="L23" s="97">
        <v>1241140.677</v>
      </c>
    </row>
    <row r="24" spans="1:12" s="15" customFormat="1" ht="12" customHeight="1">
      <c r="A24" s="46"/>
      <c r="B24" s="3"/>
      <c r="C24" s="4"/>
      <c r="D24" s="4"/>
      <c r="E24" s="4"/>
      <c r="F24" s="4"/>
      <c r="G24" s="10"/>
      <c r="H24" s="4"/>
      <c r="I24" s="4"/>
      <c r="J24" s="4"/>
      <c r="K24" s="4"/>
      <c r="L24" s="5"/>
    </row>
    <row r="25" spans="1:12" s="6" customFormat="1" ht="36.75" customHeight="1" thickBot="1">
      <c r="A25" s="50" t="s">
        <v>165</v>
      </c>
      <c r="B25" s="99">
        <f>SUM(C25:L25)</f>
        <v>41361676.538959995</v>
      </c>
      <c r="C25" s="100">
        <v>22565607.081</v>
      </c>
      <c r="D25" s="313" t="s">
        <v>158</v>
      </c>
      <c r="E25" s="100">
        <v>1779176.855</v>
      </c>
      <c r="F25" s="100">
        <v>1284526.032</v>
      </c>
      <c r="G25" s="314" t="s">
        <v>158</v>
      </c>
      <c r="H25" s="100">
        <v>891731.091</v>
      </c>
      <c r="I25" s="313" t="s">
        <v>158</v>
      </c>
      <c r="J25" s="100">
        <v>13601724.271</v>
      </c>
      <c r="K25" s="100">
        <v>69530.577</v>
      </c>
      <c r="L25" s="101">
        <v>1169380.63196</v>
      </c>
    </row>
    <row r="26" spans="1:7" s="25" customFormat="1" ht="15.75" customHeight="1">
      <c r="A26" s="23" t="s">
        <v>170</v>
      </c>
      <c r="B26" s="107"/>
      <c r="G26" s="6" t="s">
        <v>171</v>
      </c>
    </row>
  </sheetData>
  <mergeCells count="4">
    <mergeCell ref="G3:L3"/>
    <mergeCell ref="A2:F2"/>
    <mergeCell ref="G2:L2"/>
    <mergeCell ref="A3:F3"/>
  </mergeCells>
  <printOptions/>
  <pageMargins left="1.141732283464567" right="1.141732283464567" top="1.5748031496062993" bottom="1.5748031496062993" header="0.5118110236220472" footer="0.9055118110236221"/>
  <pageSetup firstPageNumber="284" useFirstPageNumber="1" horizontalDpi="96" verticalDpi="96" orientation="portrait" paperSize="9" r:id="rId1"/>
  <headerFooter alignWithMargins="0">
    <oddFooter>&amp;C&amp;"超研澤中圓,Regula"&amp;11‧&amp;"Times New Roman,標準"&amp;P&amp;"超研澤中圓,Regula"‧</oddFooter>
  </headerFooter>
</worksheet>
</file>

<file path=xl/worksheets/sheet5.xml><?xml version="1.0" encoding="utf-8"?>
<worksheet xmlns="http://schemas.openxmlformats.org/spreadsheetml/2006/main" xmlns:r="http://schemas.openxmlformats.org/officeDocument/2006/relationships">
  <sheetPr>
    <tabColor indexed="29"/>
  </sheetPr>
  <dimension ref="A1:P39"/>
  <sheetViews>
    <sheetView showGridLines="0" zoomScale="120" zoomScaleNormal="120" workbookViewId="0" topLeftCell="A1">
      <selection activeCell="A1" sqref="A1"/>
    </sheetView>
  </sheetViews>
  <sheetFormatPr defaultColWidth="9.00390625" defaultRowHeight="16.5"/>
  <cols>
    <col min="1" max="1" width="11.125" style="14" customWidth="1"/>
    <col min="2" max="2" width="13.625" style="14" customWidth="1"/>
    <col min="3" max="3" width="8.625" style="14" customWidth="1"/>
    <col min="4" max="4" width="9.125" style="14" customWidth="1"/>
    <col min="5" max="5" width="8.625" style="14" customWidth="1"/>
    <col min="6" max="7" width="8.125" style="14" customWidth="1"/>
    <col min="8" max="8" width="8.625" style="14" customWidth="1"/>
    <col min="9" max="12" width="9.375" style="14" customWidth="1"/>
    <col min="13" max="13" width="10.125" style="14" customWidth="1"/>
    <col min="14" max="16" width="9.375" style="14" customWidth="1"/>
    <col min="17" max="16384" width="9.00390625" style="14" customWidth="1"/>
  </cols>
  <sheetData>
    <row r="1" spans="1:16" s="15" customFormat="1" ht="19.5" customHeight="1">
      <c r="A1" s="12" t="s">
        <v>675</v>
      </c>
      <c r="B1" s="27"/>
      <c r="C1" s="27"/>
      <c r="P1" s="53" t="s">
        <v>696</v>
      </c>
    </row>
    <row r="2" spans="1:16" s="17" customFormat="1" ht="19.5" customHeight="1">
      <c r="A2" s="442" t="s">
        <v>185</v>
      </c>
      <c r="B2" s="441"/>
      <c r="C2" s="441"/>
      <c r="D2" s="441"/>
      <c r="E2" s="441"/>
      <c r="F2" s="441"/>
      <c r="G2" s="441"/>
      <c r="H2" s="441"/>
      <c r="I2" s="441" t="s">
        <v>186</v>
      </c>
      <c r="J2" s="441"/>
      <c r="K2" s="441"/>
      <c r="L2" s="441"/>
      <c r="M2" s="441"/>
      <c r="N2" s="441"/>
      <c r="O2" s="441"/>
      <c r="P2" s="441"/>
    </row>
    <row r="3" spans="1:16" s="17" customFormat="1" ht="15" customHeight="1">
      <c r="A3" s="442" t="s">
        <v>187</v>
      </c>
      <c r="B3" s="441"/>
      <c r="C3" s="441"/>
      <c r="D3" s="441"/>
      <c r="E3" s="441"/>
      <c r="F3" s="441"/>
      <c r="G3" s="441"/>
      <c r="H3" s="441"/>
      <c r="I3" s="441" t="s">
        <v>188</v>
      </c>
      <c r="J3" s="441"/>
      <c r="K3" s="441"/>
      <c r="L3" s="441"/>
      <c r="M3" s="441"/>
      <c r="N3" s="441"/>
      <c r="O3" s="441"/>
      <c r="P3" s="441"/>
    </row>
    <row r="4" spans="1:16" s="57" customFormat="1" ht="15" customHeight="1" thickBot="1">
      <c r="A4" s="213"/>
      <c r="B4" s="213"/>
      <c r="C4" s="60"/>
      <c r="D4" s="60"/>
      <c r="E4" s="60"/>
      <c r="F4" s="60"/>
      <c r="G4" s="60"/>
      <c r="H4" s="61" t="s">
        <v>727</v>
      </c>
      <c r="I4" s="60"/>
      <c r="J4" s="60"/>
      <c r="K4" s="60"/>
      <c r="M4" s="214"/>
      <c r="N4" s="214"/>
      <c r="O4" s="214"/>
      <c r="P4" s="71" t="s">
        <v>189</v>
      </c>
    </row>
    <row r="5" spans="1:16" s="15" customFormat="1" ht="27.75" customHeight="1">
      <c r="A5" s="454" t="s">
        <v>728</v>
      </c>
      <c r="B5" s="455"/>
      <c r="C5" s="315" t="s">
        <v>667</v>
      </c>
      <c r="D5" s="250" t="s">
        <v>448</v>
      </c>
      <c r="E5" s="251" t="s">
        <v>449</v>
      </c>
      <c r="F5" s="251" t="s">
        <v>450</v>
      </c>
      <c r="G5" s="251" t="s">
        <v>451</v>
      </c>
      <c r="H5" s="316" t="s">
        <v>452</v>
      </c>
      <c r="I5" s="250" t="s">
        <v>453</v>
      </c>
      <c r="J5" s="316" t="s">
        <v>454</v>
      </c>
      <c r="K5" s="251" t="s">
        <v>455</v>
      </c>
      <c r="L5" s="251" t="s">
        <v>456</v>
      </c>
      <c r="M5" s="251" t="s">
        <v>457</v>
      </c>
      <c r="N5" s="251" t="s">
        <v>458</v>
      </c>
      <c r="O5" s="251" t="s">
        <v>459</v>
      </c>
      <c r="P5" s="253" t="s">
        <v>460</v>
      </c>
    </row>
    <row r="6" spans="1:16" s="38" customFormat="1" ht="39.75" customHeight="1" thickBot="1">
      <c r="A6" s="452" t="s">
        <v>729</v>
      </c>
      <c r="B6" s="453"/>
      <c r="C6" s="64" t="s">
        <v>730</v>
      </c>
      <c r="D6" s="64" t="s">
        <v>461</v>
      </c>
      <c r="E6" s="65" t="s">
        <v>462</v>
      </c>
      <c r="F6" s="65" t="s">
        <v>463</v>
      </c>
      <c r="G6" s="65" t="s">
        <v>464</v>
      </c>
      <c r="H6" s="65" t="s">
        <v>465</v>
      </c>
      <c r="I6" s="64" t="s">
        <v>466</v>
      </c>
      <c r="J6" s="65" t="s">
        <v>467</v>
      </c>
      <c r="K6" s="65" t="s">
        <v>468</v>
      </c>
      <c r="L6" s="65" t="s">
        <v>469</v>
      </c>
      <c r="M6" s="65" t="s">
        <v>470</v>
      </c>
      <c r="N6" s="65" t="s">
        <v>471</v>
      </c>
      <c r="O6" s="65" t="s">
        <v>174</v>
      </c>
      <c r="P6" s="66" t="s">
        <v>473</v>
      </c>
    </row>
    <row r="7" spans="1:16" s="6" customFormat="1" ht="16.5" customHeight="1">
      <c r="A7" s="317" t="s">
        <v>734</v>
      </c>
      <c r="B7" s="297" t="s">
        <v>175</v>
      </c>
      <c r="C7" s="207">
        <v>28230966</v>
      </c>
      <c r="D7" s="69">
        <v>257970</v>
      </c>
      <c r="E7" s="69">
        <v>362938</v>
      </c>
      <c r="F7" s="69">
        <v>1855651</v>
      </c>
      <c r="G7" s="69">
        <v>642138</v>
      </c>
      <c r="H7" s="69">
        <v>13135918</v>
      </c>
      <c r="I7" s="318" t="s">
        <v>760</v>
      </c>
      <c r="J7" s="68">
        <v>590013</v>
      </c>
      <c r="K7" s="69">
        <v>816801</v>
      </c>
      <c r="L7" s="68">
        <v>132407</v>
      </c>
      <c r="M7" s="68">
        <v>1899868</v>
      </c>
      <c r="N7" s="69">
        <v>712483</v>
      </c>
      <c r="O7" s="68">
        <v>480517</v>
      </c>
      <c r="P7" s="205">
        <v>410814</v>
      </c>
    </row>
    <row r="8" spans="1:16" s="6" customFormat="1" ht="21.75" customHeight="1">
      <c r="A8" s="206">
        <v>1995</v>
      </c>
      <c r="B8" s="297" t="s">
        <v>722</v>
      </c>
      <c r="C8" s="207">
        <v>30739661</v>
      </c>
      <c r="D8" s="69">
        <v>275850</v>
      </c>
      <c r="E8" s="69">
        <v>802450</v>
      </c>
      <c r="F8" s="69">
        <v>1998336</v>
      </c>
      <c r="G8" s="69">
        <v>645976</v>
      </c>
      <c r="H8" s="69">
        <v>13586891</v>
      </c>
      <c r="I8" s="318" t="s">
        <v>723</v>
      </c>
      <c r="J8" s="68">
        <v>735600</v>
      </c>
      <c r="K8" s="69">
        <v>926178</v>
      </c>
      <c r="L8" s="68">
        <v>153618</v>
      </c>
      <c r="M8" s="68">
        <v>2465926</v>
      </c>
      <c r="N8" s="69">
        <v>937533</v>
      </c>
      <c r="O8" s="68">
        <v>430517</v>
      </c>
      <c r="P8" s="205">
        <v>413904</v>
      </c>
    </row>
    <row r="9" spans="1:16" s="15" customFormat="1" ht="6.75" customHeight="1">
      <c r="A9" s="206"/>
      <c r="B9" s="52"/>
      <c r="C9" s="207"/>
      <c r="D9" s="69"/>
      <c r="E9" s="69"/>
      <c r="F9" s="69"/>
      <c r="G9" s="69"/>
      <c r="H9" s="69"/>
      <c r="I9" s="70"/>
      <c r="J9" s="69"/>
      <c r="K9" s="69"/>
      <c r="L9" s="69"/>
      <c r="M9" s="69"/>
      <c r="N9" s="69"/>
      <c r="O9" s="69"/>
      <c r="P9" s="205"/>
    </row>
    <row r="10" spans="1:16" s="6" customFormat="1" ht="16.5" customHeight="1">
      <c r="A10" s="206" t="s">
        <v>176</v>
      </c>
      <c r="B10" s="297" t="s">
        <v>725</v>
      </c>
      <c r="C10" s="207">
        <v>22813863</v>
      </c>
      <c r="D10" s="69">
        <v>200391</v>
      </c>
      <c r="E10" s="69">
        <v>664336</v>
      </c>
      <c r="F10" s="69">
        <v>1456455</v>
      </c>
      <c r="G10" s="69">
        <v>664052</v>
      </c>
      <c r="H10" s="69">
        <v>12577499</v>
      </c>
      <c r="I10" s="318" t="s">
        <v>723</v>
      </c>
      <c r="J10" s="68">
        <v>386442</v>
      </c>
      <c r="K10" s="69">
        <v>544026</v>
      </c>
      <c r="L10" s="68">
        <v>146096</v>
      </c>
      <c r="M10" s="68">
        <v>8089</v>
      </c>
      <c r="N10" s="69">
        <v>263920</v>
      </c>
      <c r="O10" s="68">
        <v>653225</v>
      </c>
      <c r="P10" s="205">
        <v>518814</v>
      </c>
    </row>
    <row r="11" spans="1:16" s="25" customFormat="1" ht="21.75" customHeight="1">
      <c r="A11" s="206">
        <v>1996</v>
      </c>
      <c r="B11" s="297" t="s">
        <v>722</v>
      </c>
      <c r="C11" s="67">
        <v>22813863</v>
      </c>
      <c r="D11" s="69">
        <v>200391</v>
      </c>
      <c r="E11" s="69">
        <v>664336</v>
      </c>
      <c r="F11" s="69">
        <v>1456455</v>
      </c>
      <c r="G11" s="69">
        <v>664052</v>
      </c>
      <c r="H11" s="69">
        <v>12577499</v>
      </c>
      <c r="I11" s="318" t="s">
        <v>723</v>
      </c>
      <c r="J11" s="68">
        <v>386442</v>
      </c>
      <c r="K11" s="69">
        <v>544026</v>
      </c>
      <c r="L11" s="68">
        <v>146096</v>
      </c>
      <c r="M11" s="68">
        <v>8089</v>
      </c>
      <c r="N11" s="69">
        <v>263920</v>
      </c>
      <c r="O11" s="68">
        <v>653225</v>
      </c>
      <c r="P11" s="205">
        <v>518814</v>
      </c>
    </row>
    <row r="12" spans="1:16" s="15" customFormat="1" ht="6.75" customHeight="1">
      <c r="A12" s="206"/>
      <c r="B12" s="52"/>
      <c r="C12" s="207"/>
      <c r="D12" s="69"/>
      <c r="E12" s="69"/>
      <c r="F12" s="69"/>
      <c r="G12" s="69"/>
      <c r="H12" s="69"/>
      <c r="I12" s="70"/>
      <c r="J12" s="69"/>
      <c r="K12" s="69"/>
      <c r="L12" s="69"/>
      <c r="M12" s="69"/>
      <c r="N12" s="69"/>
      <c r="O12" s="69"/>
      <c r="P12" s="205"/>
    </row>
    <row r="13" spans="1:16" s="25" customFormat="1" ht="16.5" customHeight="1">
      <c r="A13" s="206" t="s">
        <v>177</v>
      </c>
      <c r="B13" s="297" t="s">
        <v>725</v>
      </c>
      <c r="C13" s="207">
        <v>36594215</v>
      </c>
      <c r="D13" s="68">
        <v>302347</v>
      </c>
      <c r="E13" s="68">
        <v>550233</v>
      </c>
      <c r="F13" s="68">
        <v>2345113</v>
      </c>
      <c r="G13" s="68">
        <v>773997</v>
      </c>
      <c r="H13" s="69">
        <v>13211811</v>
      </c>
      <c r="I13" s="318" t="s">
        <v>723</v>
      </c>
      <c r="J13" s="69">
        <v>785471</v>
      </c>
      <c r="K13" s="69">
        <v>1059203</v>
      </c>
      <c r="L13" s="69">
        <v>217552</v>
      </c>
      <c r="M13" s="69">
        <v>3842583</v>
      </c>
      <c r="N13" s="69">
        <v>1425357</v>
      </c>
      <c r="O13" s="69">
        <v>1968872</v>
      </c>
      <c r="P13" s="205">
        <v>1036345</v>
      </c>
    </row>
    <row r="14" spans="1:16" s="25" customFormat="1" ht="21.75" customHeight="1">
      <c r="A14" s="206">
        <v>1997</v>
      </c>
      <c r="B14" s="297" t="s">
        <v>722</v>
      </c>
      <c r="C14" s="207">
        <v>36594215</v>
      </c>
      <c r="D14" s="68">
        <v>302347</v>
      </c>
      <c r="E14" s="68">
        <v>550233</v>
      </c>
      <c r="F14" s="68">
        <v>2345113</v>
      </c>
      <c r="G14" s="68">
        <v>773997</v>
      </c>
      <c r="H14" s="69">
        <v>13211811</v>
      </c>
      <c r="I14" s="318" t="s">
        <v>723</v>
      </c>
      <c r="J14" s="69">
        <v>785471</v>
      </c>
      <c r="K14" s="69">
        <v>1059203</v>
      </c>
      <c r="L14" s="69">
        <v>217552</v>
      </c>
      <c r="M14" s="69">
        <v>3842583</v>
      </c>
      <c r="N14" s="69">
        <v>1425357</v>
      </c>
      <c r="O14" s="69">
        <v>1968872</v>
      </c>
      <c r="P14" s="205">
        <v>1036345</v>
      </c>
    </row>
    <row r="15" spans="1:16" s="15" customFormat="1" ht="6.75" customHeight="1">
      <c r="A15" s="206"/>
      <c r="B15" s="52"/>
      <c r="C15" s="207"/>
      <c r="D15" s="69"/>
      <c r="E15" s="69"/>
      <c r="F15" s="69"/>
      <c r="G15" s="69"/>
      <c r="H15" s="69"/>
      <c r="I15" s="70"/>
      <c r="J15" s="69"/>
      <c r="K15" s="69"/>
      <c r="L15" s="69"/>
      <c r="M15" s="69"/>
      <c r="N15" s="69"/>
      <c r="O15" s="69"/>
      <c r="P15" s="205"/>
    </row>
    <row r="16" spans="1:16" s="25" customFormat="1" ht="16.5" customHeight="1">
      <c r="A16" s="206" t="s">
        <v>178</v>
      </c>
      <c r="B16" s="297" t="s">
        <v>725</v>
      </c>
      <c r="C16" s="207">
        <v>34292432</v>
      </c>
      <c r="D16" s="68">
        <v>292935</v>
      </c>
      <c r="E16" s="68">
        <v>382799</v>
      </c>
      <c r="F16" s="68">
        <v>2247845</v>
      </c>
      <c r="G16" s="68">
        <v>741398</v>
      </c>
      <c r="H16" s="69">
        <v>13415469</v>
      </c>
      <c r="I16" s="318" t="s">
        <v>723</v>
      </c>
      <c r="J16" s="69">
        <v>618788</v>
      </c>
      <c r="K16" s="69">
        <v>785104</v>
      </c>
      <c r="L16" s="69">
        <v>224445</v>
      </c>
      <c r="M16" s="69">
        <v>2341770</v>
      </c>
      <c r="N16" s="69">
        <v>785795</v>
      </c>
      <c r="O16" s="69">
        <v>2773119</v>
      </c>
      <c r="P16" s="205">
        <v>1099175</v>
      </c>
    </row>
    <row r="17" spans="1:16" s="25" customFormat="1" ht="21.75" customHeight="1">
      <c r="A17" s="206">
        <v>1998</v>
      </c>
      <c r="B17" s="297" t="s">
        <v>722</v>
      </c>
      <c r="C17" s="207">
        <v>34292432</v>
      </c>
      <c r="D17" s="68">
        <v>292935</v>
      </c>
      <c r="E17" s="68">
        <v>382799</v>
      </c>
      <c r="F17" s="68">
        <v>2247845</v>
      </c>
      <c r="G17" s="68">
        <v>741398</v>
      </c>
      <c r="H17" s="69">
        <v>13415469</v>
      </c>
      <c r="I17" s="318" t="s">
        <v>723</v>
      </c>
      <c r="J17" s="69">
        <v>618788</v>
      </c>
      <c r="K17" s="69">
        <v>785104</v>
      </c>
      <c r="L17" s="69">
        <v>224445</v>
      </c>
      <c r="M17" s="69">
        <v>2341770</v>
      </c>
      <c r="N17" s="69">
        <v>785795</v>
      </c>
      <c r="O17" s="69">
        <v>2773119</v>
      </c>
      <c r="P17" s="205">
        <v>1099175</v>
      </c>
    </row>
    <row r="18" spans="1:16" s="15" customFormat="1" ht="6.75" customHeight="1">
      <c r="A18" s="206"/>
      <c r="B18" s="52"/>
      <c r="C18" s="207"/>
      <c r="D18" s="69"/>
      <c r="E18" s="69"/>
      <c r="F18" s="69"/>
      <c r="G18" s="69"/>
      <c r="H18" s="69"/>
      <c r="I18" s="70"/>
      <c r="J18" s="69"/>
      <c r="K18" s="69"/>
      <c r="L18" s="69"/>
      <c r="M18" s="69"/>
      <c r="N18" s="69"/>
      <c r="O18" s="69"/>
      <c r="P18" s="205"/>
    </row>
    <row r="19" spans="1:16" s="25" customFormat="1" ht="16.5" customHeight="1">
      <c r="A19" s="206" t="s">
        <v>179</v>
      </c>
      <c r="B19" s="297" t="s">
        <v>725</v>
      </c>
      <c r="C19" s="207">
        <v>35871431</v>
      </c>
      <c r="D19" s="68">
        <v>272695</v>
      </c>
      <c r="E19" s="68">
        <v>466335</v>
      </c>
      <c r="F19" s="68">
        <v>1942775</v>
      </c>
      <c r="G19" s="68">
        <v>801956</v>
      </c>
      <c r="H19" s="69">
        <v>14729360</v>
      </c>
      <c r="I19" s="318" t="s">
        <v>723</v>
      </c>
      <c r="J19" s="69">
        <v>694979</v>
      </c>
      <c r="K19" s="69">
        <v>989828</v>
      </c>
      <c r="L19" s="69">
        <v>242274</v>
      </c>
      <c r="M19" s="69">
        <v>1748260</v>
      </c>
      <c r="N19" s="69">
        <v>1150738</v>
      </c>
      <c r="O19" s="69">
        <v>2903532</v>
      </c>
      <c r="P19" s="205">
        <v>1128632</v>
      </c>
    </row>
    <row r="20" spans="1:16" s="25" customFormat="1" ht="21.75" customHeight="1">
      <c r="A20" s="206">
        <v>1999</v>
      </c>
      <c r="B20" s="297" t="s">
        <v>722</v>
      </c>
      <c r="C20" s="207">
        <v>36855082</v>
      </c>
      <c r="D20" s="68">
        <v>286829</v>
      </c>
      <c r="E20" s="68">
        <v>506026</v>
      </c>
      <c r="F20" s="68">
        <v>1983646</v>
      </c>
      <c r="G20" s="68">
        <v>768068</v>
      </c>
      <c r="H20" s="69">
        <v>14937590</v>
      </c>
      <c r="I20" s="318" t="s">
        <v>723</v>
      </c>
      <c r="J20" s="69">
        <v>811940</v>
      </c>
      <c r="K20" s="69">
        <v>1035921</v>
      </c>
      <c r="L20" s="69">
        <v>226274</v>
      </c>
      <c r="M20" s="69">
        <v>2173759</v>
      </c>
      <c r="N20" s="69">
        <v>1169666</v>
      </c>
      <c r="O20" s="69">
        <v>2903532</v>
      </c>
      <c r="P20" s="205">
        <v>1098174</v>
      </c>
    </row>
    <row r="21" spans="1:16" s="15" customFormat="1" ht="6.75" customHeight="1">
      <c r="A21" s="206"/>
      <c r="B21" s="52"/>
      <c r="C21" s="207"/>
      <c r="D21" s="69"/>
      <c r="E21" s="69"/>
      <c r="F21" s="69"/>
      <c r="G21" s="69"/>
      <c r="H21" s="69"/>
      <c r="I21" s="70"/>
      <c r="J21" s="69"/>
      <c r="K21" s="69"/>
      <c r="L21" s="69"/>
      <c r="M21" s="69"/>
      <c r="N21" s="69"/>
      <c r="O21" s="69"/>
      <c r="P21" s="205"/>
    </row>
    <row r="22" spans="1:16" s="25" customFormat="1" ht="16.5" customHeight="1">
      <c r="A22" s="450" t="s">
        <v>447</v>
      </c>
      <c r="B22" s="297" t="s">
        <v>725</v>
      </c>
      <c r="C22" s="207">
        <v>54721535</v>
      </c>
      <c r="D22" s="69">
        <v>610260</v>
      </c>
      <c r="E22" s="69">
        <v>1045201</v>
      </c>
      <c r="F22" s="69">
        <v>3932488</v>
      </c>
      <c r="G22" s="69">
        <v>1131310</v>
      </c>
      <c r="H22" s="69">
        <v>22981819</v>
      </c>
      <c r="I22" s="318" t="s">
        <v>723</v>
      </c>
      <c r="J22" s="69">
        <v>1065017</v>
      </c>
      <c r="K22" s="69">
        <v>1825699</v>
      </c>
      <c r="L22" s="69">
        <v>342385</v>
      </c>
      <c r="M22" s="69">
        <v>2067169</v>
      </c>
      <c r="N22" s="69">
        <v>1492275</v>
      </c>
      <c r="O22" s="69">
        <v>287890</v>
      </c>
      <c r="P22" s="205">
        <v>1041934</v>
      </c>
    </row>
    <row r="23" spans="1:16" s="25" customFormat="1" ht="21.75" customHeight="1">
      <c r="A23" s="451"/>
      <c r="B23" s="297" t="s">
        <v>722</v>
      </c>
      <c r="C23" s="207">
        <v>54721535</v>
      </c>
      <c r="D23" s="69">
        <v>610260</v>
      </c>
      <c r="E23" s="69">
        <v>1045201</v>
      </c>
      <c r="F23" s="69">
        <v>3932488</v>
      </c>
      <c r="G23" s="69">
        <v>1131310</v>
      </c>
      <c r="H23" s="69">
        <v>22981819</v>
      </c>
      <c r="I23" s="318" t="s">
        <v>723</v>
      </c>
      <c r="J23" s="69">
        <v>1065017</v>
      </c>
      <c r="K23" s="69">
        <v>1825699</v>
      </c>
      <c r="L23" s="69">
        <v>342385</v>
      </c>
      <c r="M23" s="69">
        <v>2067169</v>
      </c>
      <c r="N23" s="69">
        <v>1492275</v>
      </c>
      <c r="O23" s="69">
        <v>287890</v>
      </c>
      <c r="P23" s="205">
        <v>1041934</v>
      </c>
    </row>
    <row r="24" spans="1:16" s="15" customFormat="1" ht="6.75" customHeight="1">
      <c r="A24" s="206"/>
      <c r="B24" s="52"/>
      <c r="C24" s="207"/>
      <c r="D24" s="69"/>
      <c r="E24" s="69"/>
      <c r="F24" s="69"/>
      <c r="G24" s="69"/>
      <c r="H24" s="69"/>
      <c r="I24" s="70"/>
      <c r="J24" s="69"/>
      <c r="K24" s="69"/>
      <c r="L24" s="69"/>
      <c r="M24" s="69"/>
      <c r="N24" s="69"/>
      <c r="O24" s="69"/>
      <c r="P24" s="205"/>
    </row>
    <row r="25" spans="1:16" s="25" customFormat="1" ht="16.5" customHeight="1">
      <c r="A25" s="206" t="s">
        <v>180</v>
      </c>
      <c r="B25" s="297" t="s">
        <v>725</v>
      </c>
      <c r="C25" s="207">
        <v>36744768</v>
      </c>
      <c r="D25" s="69">
        <v>510127</v>
      </c>
      <c r="E25" s="69">
        <v>696230</v>
      </c>
      <c r="F25" s="69">
        <v>2434551</v>
      </c>
      <c r="G25" s="69">
        <v>772731</v>
      </c>
      <c r="H25" s="69">
        <v>14937556</v>
      </c>
      <c r="I25" s="318" t="s">
        <v>723</v>
      </c>
      <c r="J25" s="69">
        <v>490418</v>
      </c>
      <c r="K25" s="69">
        <v>821689</v>
      </c>
      <c r="L25" s="69">
        <v>341835</v>
      </c>
      <c r="M25" s="69">
        <v>1431311</v>
      </c>
      <c r="N25" s="69">
        <v>896772</v>
      </c>
      <c r="O25" s="69">
        <v>167941</v>
      </c>
      <c r="P25" s="205">
        <v>865250</v>
      </c>
    </row>
    <row r="26" spans="1:16" s="25" customFormat="1" ht="21.75" customHeight="1">
      <c r="A26" s="206">
        <v>2001</v>
      </c>
      <c r="B26" s="297" t="s">
        <v>722</v>
      </c>
      <c r="C26" s="207">
        <v>36744768</v>
      </c>
      <c r="D26" s="69">
        <v>510127</v>
      </c>
      <c r="E26" s="69">
        <v>696230</v>
      </c>
      <c r="F26" s="69">
        <v>2434551</v>
      </c>
      <c r="G26" s="69">
        <v>772731</v>
      </c>
      <c r="H26" s="69">
        <v>14937556</v>
      </c>
      <c r="I26" s="318" t="s">
        <v>723</v>
      </c>
      <c r="J26" s="69">
        <v>490418</v>
      </c>
      <c r="K26" s="69">
        <v>821689</v>
      </c>
      <c r="L26" s="69">
        <v>341835</v>
      </c>
      <c r="M26" s="69">
        <v>1431311</v>
      </c>
      <c r="N26" s="69">
        <v>896772</v>
      </c>
      <c r="O26" s="69">
        <v>167941</v>
      </c>
      <c r="P26" s="205">
        <v>865250</v>
      </c>
    </row>
    <row r="27" spans="1:16" s="15" customFormat="1" ht="6.75" customHeight="1">
      <c r="A27" s="206"/>
      <c r="B27" s="52"/>
      <c r="C27" s="207"/>
      <c r="D27" s="69"/>
      <c r="E27" s="69"/>
      <c r="F27" s="69"/>
      <c r="G27" s="69"/>
      <c r="H27" s="69"/>
      <c r="I27" s="70"/>
      <c r="J27" s="69"/>
      <c r="K27" s="69"/>
      <c r="L27" s="69"/>
      <c r="M27" s="69"/>
      <c r="N27" s="69"/>
      <c r="O27" s="69"/>
      <c r="P27" s="205"/>
    </row>
    <row r="28" spans="1:16" s="25" customFormat="1" ht="16.5" customHeight="1">
      <c r="A28" s="206" t="s">
        <v>181</v>
      </c>
      <c r="B28" s="297" t="s">
        <v>725</v>
      </c>
      <c r="C28" s="207">
        <v>31679746</v>
      </c>
      <c r="D28" s="69">
        <v>468528</v>
      </c>
      <c r="E28" s="69">
        <v>683341</v>
      </c>
      <c r="F28" s="69">
        <v>2157134</v>
      </c>
      <c r="G28" s="69">
        <v>706906</v>
      </c>
      <c r="H28" s="69">
        <v>16498131</v>
      </c>
      <c r="I28" s="318" t="s">
        <v>723</v>
      </c>
      <c r="J28" s="69">
        <v>205215</v>
      </c>
      <c r="K28" s="69">
        <v>335972</v>
      </c>
      <c r="L28" s="69">
        <v>65578</v>
      </c>
      <c r="M28" s="69">
        <v>981218</v>
      </c>
      <c r="N28" s="69">
        <v>261191</v>
      </c>
      <c r="O28" s="69">
        <v>91734</v>
      </c>
      <c r="P28" s="205">
        <v>225145</v>
      </c>
    </row>
    <row r="29" spans="1:16" s="25" customFormat="1" ht="21.75" customHeight="1">
      <c r="A29" s="206">
        <v>2002</v>
      </c>
      <c r="B29" s="297" t="s">
        <v>722</v>
      </c>
      <c r="C29" s="207">
        <v>43532396</v>
      </c>
      <c r="D29" s="69">
        <v>468878</v>
      </c>
      <c r="E29" s="69">
        <v>827086</v>
      </c>
      <c r="F29" s="69">
        <v>2801672</v>
      </c>
      <c r="G29" s="69">
        <v>722584</v>
      </c>
      <c r="H29" s="69">
        <v>18723087</v>
      </c>
      <c r="I29" s="318" t="s">
        <v>723</v>
      </c>
      <c r="J29" s="69">
        <v>238078</v>
      </c>
      <c r="K29" s="69">
        <v>660023</v>
      </c>
      <c r="L29" s="69">
        <v>125618</v>
      </c>
      <c r="M29" s="69">
        <v>2741313</v>
      </c>
      <c r="N29" s="69">
        <v>852134</v>
      </c>
      <c r="O29" s="69">
        <v>171734</v>
      </c>
      <c r="P29" s="205">
        <v>468573</v>
      </c>
    </row>
    <row r="30" spans="1:16" s="15" customFormat="1" ht="6.75" customHeight="1">
      <c r="A30" s="206"/>
      <c r="B30" s="52"/>
      <c r="C30" s="207"/>
      <c r="D30" s="69"/>
      <c r="E30" s="69"/>
      <c r="F30" s="69"/>
      <c r="G30" s="69"/>
      <c r="H30" s="69"/>
      <c r="I30" s="70"/>
      <c r="J30" s="69"/>
      <c r="K30" s="69"/>
      <c r="L30" s="69"/>
      <c r="M30" s="69"/>
      <c r="N30" s="69"/>
      <c r="O30" s="69"/>
      <c r="P30" s="205"/>
    </row>
    <row r="31" spans="1:16" s="25" customFormat="1" ht="16.5" customHeight="1">
      <c r="A31" s="206" t="s">
        <v>182</v>
      </c>
      <c r="B31" s="297" t="s">
        <v>725</v>
      </c>
      <c r="C31" s="207">
        <v>41615855</v>
      </c>
      <c r="D31" s="69">
        <v>456843</v>
      </c>
      <c r="E31" s="69">
        <v>803606</v>
      </c>
      <c r="F31" s="69">
        <v>2610482</v>
      </c>
      <c r="G31" s="69">
        <v>565987</v>
      </c>
      <c r="H31" s="69">
        <v>16940867</v>
      </c>
      <c r="I31" s="318" t="s">
        <v>723</v>
      </c>
      <c r="J31" s="69">
        <v>359586</v>
      </c>
      <c r="K31" s="69">
        <v>610057</v>
      </c>
      <c r="L31" s="69">
        <v>272780</v>
      </c>
      <c r="M31" s="69">
        <v>4394101</v>
      </c>
      <c r="N31" s="69">
        <v>922359</v>
      </c>
      <c r="O31" s="69">
        <v>171734</v>
      </c>
      <c r="P31" s="205">
        <v>411364</v>
      </c>
    </row>
    <row r="32" spans="1:16" s="25" customFormat="1" ht="21.75" customHeight="1">
      <c r="A32" s="206">
        <v>2003</v>
      </c>
      <c r="B32" s="297" t="s">
        <v>722</v>
      </c>
      <c r="C32" s="207">
        <v>41615855</v>
      </c>
      <c r="D32" s="69">
        <v>456843</v>
      </c>
      <c r="E32" s="69">
        <v>803606</v>
      </c>
      <c r="F32" s="69">
        <v>2610482</v>
      </c>
      <c r="G32" s="69">
        <v>565987</v>
      </c>
      <c r="H32" s="69">
        <v>16940867</v>
      </c>
      <c r="I32" s="318" t="s">
        <v>723</v>
      </c>
      <c r="J32" s="69">
        <v>359586</v>
      </c>
      <c r="K32" s="69">
        <v>610057</v>
      </c>
      <c r="L32" s="69">
        <v>272780</v>
      </c>
      <c r="M32" s="69">
        <v>4394101</v>
      </c>
      <c r="N32" s="69">
        <v>922359</v>
      </c>
      <c r="O32" s="69">
        <v>171734</v>
      </c>
      <c r="P32" s="205">
        <v>411364</v>
      </c>
    </row>
    <row r="33" spans="1:16" s="15" customFormat="1" ht="6.75" customHeight="1">
      <c r="A33" s="206"/>
      <c r="B33" s="52"/>
      <c r="C33" s="207"/>
      <c r="D33" s="69"/>
      <c r="E33" s="69"/>
      <c r="F33" s="69"/>
      <c r="G33" s="69"/>
      <c r="H33" s="69"/>
      <c r="I33" s="70"/>
      <c r="J33" s="69"/>
      <c r="K33" s="69"/>
      <c r="L33" s="69"/>
      <c r="M33" s="69"/>
      <c r="N33" s="69"/>
      <c r="O33" s="69"/>
      <c r="P33" s="205"/>
    </row>
    <row r="34" spans="1:16" s="25" customFormat="1" ht="16.5" customHeight="1">
      <c r="A34" s="206" t="s">
        <v>183</v>
      </c>
      <c r="B34" s="297" t="s">
        <v>725</v>
      </c>
      <c r="C34" s="207">
        <v>47639407</v>
      </c>
      <c r="D34" s="69">
        <v>417469</v>
      </c>
      <c r="E34" s="69">
        <v>862253</v>
      </c>
      <c r="F34" s="69">
        <v>2760095</v>
      </c>
      <c r="G34" s="69">
        <v>583115</v>
      </c>
      <c r="H34" s="69">
        <v>20487851</v>
      </c>
      <c r="I34" s="318" t="s">
        <v>733</v>
      </c>
      <c r="J34" s="69">
        <v>493051</v>
      </c>
      <c r="K34" s="69">
        <v>1674765</v>
      </c>
      <c r="L34" s="69">
        <v>74276</v>
      </c>
      <c r="M34" s="69">
        <v>4294626</v>
      </c>
      <c r="N34" s="69">
        <v>978665</v>
      </c>
      <c r="O34" s="69">
        <v>186510</v>
      </c>
      <c r="P34" s="205">
        <v>368195</v>
      </c>
    </row>
    <row r="35" spans="1:16" s="25" customFormat="1" ht="21.75" customHeight="1">
      <c r="A35" s="206">
        <v>2004</v>
      </c>
      <c r="B35" s="297" t="s">
        <v>722</v>
      </c>
      <c r="C35" s="207">
        <v>47639407</v>
      </c>
      <c r="D35" s="69">
        <v>417469</v>
      </c>
      <c r="E35" s="69">
        <v>862253</v>
      </c>
      <c r="F35" s="69">
        <v>2760095</v>
      </c>
      <c r="G35" s="69">
        <v>583115</v>
      </c>
      <c r="H35" s="69">
        <v>20487851</v>
      </c>
      <c r="I35" s="318" t="s">
        <v>733</v>
      </c>
      <c r="J35" s="69">
        <v>493051</v>
      </c>
      <c r="K35" s="69">
        <v>1674765</v>
      </c>
      <c r="L35" s="69">
        <v>74276</v>
      </c>
      <c r="M35" s="69">
        <v>4294626</v>
      </c>
      <c r="N35" s="69">
        <v>978665</v>
      </c>
      <c r="O35" s="69">
        <v>186510</v>
      </c>
      <c r="P35" s="205">
        <v>368195</v>
      </c>
    </row>
    <row r="36" spans="1:16" s="15" customFormat="1" ht="6.75" customHeight="1">
      <c r="A36" s="206"/>
      <c r="B36" s="52"/>
      <c r="C36" s="207"/>
      <c r="D36" s="69"/>
      <c r="E36" s="69"/>
      <c r="F36" s="69"/>
      <c r="G36" s="69"/>
      <c r="H36" s="69"/>
      <c r="I36" s="70"/>
      <c r="J36" s="69"/>
      <c r="K36" s="69"/>
      <c r="L36" s="69"/>
      <c r="M36" s="69"/>
      <c r="N36" s="69"/>
      <c r="O36" s="69"/>
      <c r="P36" s="205"/>
    </row>
    <row r="37" spans="1:16" s="25" customFormat="1" ht="16.5" customHeight="1">
      <c r="A37" s="206" t="s">
        <v>184</v>
      </c>
      <c r="B37" s="297" t="s">
        <v>725</v>
      </c>
      <c r="C37" s="207">
        <f>SUM(D37:P37)+SUM('歲出預決算-按政事別分(預算)續完'!C37:O37)</f>
        <v>47885960</v>
      </c>
      <c r="D37" s="69">
        <v>369429</v>
      </c>
      <c r="E37" s="69">
        <v>904660</v>
      </c>
      <c r="F37" s="69">
        <v>2708430</v>
      </c>
      <c r="G37" s="208">
        <v>573452</v>
      </c>
      <c r="H37" s="208">
        <v>20256757</v>
      </c>
      <c r="I37" s="319" t="s">
        <v>723</v>
      </c>
      <c r="J37" s="208">
        <v>786383</v>
      </c>
      <c r="K37" s="208">
        <v>1981874</v>
      </c>
      <c r="L37" s="208">
        <v>113027</v>
      </c>
      <c r="M37" s="208">
        <v>3227870</v>
      </c>
      <c r="N37" s="208">
        <v>993750</v>
      </c>
      <c r="O37" s="208">
        <v>174647</v>
      </c>
      <c r="P37" s="209">
        <v>342389</v>
      </c>
    </row>
    <row r="38" spans="1:16" s="25" customFormat="1" ht="21.75" customHeight="1" thickBot="1">
      <c r="A38" s="71">
        <v>2005</v>
      </c>
      <c r="B38" s="300" t="s">
        <v>722</v>
      </c>
      <c r="C38" s="210">
        <f>SUM(D38:P38)+SUM('歲出預決算-按政事別分(預算)續完'!C38:O38)</f>
        <v>47885960</v>
      </c>
      <c r="D38" s="211">
        <v>369429</v>
      </c>
      <c r="E38" s="211">
        <v>904660</v>
      </c>
      <c r="F38" s="211">
        <v>2708430</v>
      </c>
      <c r="G38" s="211">
        <v>573452</v>
      </c>
      <c r="H38" s="211">
        <v>20256757</v>
      </c>
      <c r="I38" s="321" t="s">
        <v>723</v>
      </c>
      <c r="J38" s="211">
        <v>786383</v>
      </c>
      <c r="K38" s="211">
        <v>1981874</v>
      </c>
      <c r="L38" s="211">
        <v>113027</v>
      </c>
      <c r="M38" s="211">
        <v>3227870</v>
      </c>
      <c r="N38" s="211">
        <v>993750</v>
      </c>
      <c r="O38" s="211">
        <v>174647</v>
      </c>
      <c r="P38" s="212">
        <v>342389</v>
      </c>
    </row>
    <row r="39" spans="1:9" s="57" customFormat="1" ht="12.75" customHeight="1">
      <c r="A39" s="204" t="s">
        <v>190</v>
      </c>
      <c r="I39" s="56" t="s">
        <v>191</v>
      </c>
    </row>
  </sheetData>
  <mergeCells count="7">
    <mergeCell ref="I2:P2"/>
    <mergeCell ref="A3:H3"/>
    <mergeCell ref="I3:P3"/>
    <mergeCell ref="A22:A23"/>
    <mergeCell ref="A6:B6"/>
    <mergeCell ref="A5:B5"/>
    <mergeCell ref="A2:H2"/>
  </mergeCells>
  <printOptions/>
  <pageMargins left="1.141732283464567" right="1.141732283464567" top="1.5748031496062993" bottom="1.5748031496062993" header="0.5118110236220472" footer="0.9055118110236221"/>
  <pageSetup firstPageNumber="286" useFirstPageNumber="1" horizontalDpi="96" verticalDpi="96" orientation="portrait" paperSize="9" r:id="rId1"/>
  <headerFooter alignWithMargins="0">
    <oddFooter>&amp;C&amp;"超研澤中圓,Regula"&amp;11‧&amp;"Times New Roman,標準"&amp;P&amp;"超研澤中圓,Regula"‧</oddFooter>
  </headerFooter>
</worksheet>
</file>

<file path=xl/worksheets/sheet6.xml><?xml version="1.0" encoding="utf-8"?>
<worksheet xmlns="http://schemas.openxmlformats.org/spreadsheetml/2006/main" xmlns:r="http://schemas.openxmlformats.org/officeDocument/2006/relationships">
  <sheetPr>
    <tabColor indexed="29"/>
  </sheetPr>
  <dimension ref="A1:O39"/>
  <sheetViews>
    <sheetView showGridLines="0" zoomScale="120" zoomScaleNormal="120" workbookViewId="0" topLeftCell="A1">
      <selection activeCell="A1" sqref="A1"/>
    </sheetView>
  </sheetViews>
  <sheetFormatPr defaultColWidth="9.00390625" defaultRowHeight="16.5"/>
  <cols>
    <col min="1" max="1" width="11.125" style="14" customWidth="1"/>
    <col min="2" max="2" width="13.625" style="14" customWidth="1"/>
    <col min="3" max="3" width="10.625" style="14" customWidth="1"/>
    <col min="4" max="4" width="9.625" style="14" customWidth="1"/>
    <col min="5" max="5" width="10.625" style="14" customWidth="1"/>
    <col min="6" max="6" width="9.625" style="14" customWidth="1"/>
    <col min="7" max="7" width="10.625" style="14" customWidth="1"/>
    <col min="8" max="8" width="9.00390625" style="14" customWidth="1"/>
    <col min="9" max="9" width="8.625" style="14" customWidth="1"/>
    <col min="10" max="10" width="9.375" style="14" customWidth="1"/>
    <col min="11" max="11" width="8.625" style="14" customWidth="1"/>
    <col min="12" max="12" width="11.625" style="14" customWidth="1"/>
    <col min="13" max="13" width="11.875" style="14" customWidth="1"/>
    <col min="14" max="14" width="8.625" style="14" customWidth="1"/>
    <col min="15" max="15" width="8.125" style="14" customWidth="1"/>
    <col min="16" max="16384" width="9.00390625" style="14" customWidth="1"/>
  </cols>
  <sheetData>
    <row r="1" spans="1:15" s="15" customFormat="1" ht="19.5" customHeight="1">
      <c r="A1" s="12" t="s">
        <v>166</v>
      </c>
      <c r="B1" s="27"/>
      <c r="C1" s="27"/>
      <c r="O1" s="53" t="s">
        <v>167</v>
      </c>
    </row>
    <row r="2" spans="1:15" s="17" customFormat="1" ht="33.75" customHeight="1">
      <c r="A2" s="442" t="s">
        <v>740</v>
      </c>
      <c r="B2" s="441"/>
      <c r="C2" s="441"/>
      <c r="D2" s="441"/>
      <c r="E2" s="441"/>
      <c r="F2" s="441"/>
      <c r="G2" s="441"/>
      <c r="H2" s="449" t="s">
        <v>741</v>
      </c>
      <c r="I2" s="449"/>
      <c r="J2" s="449"/>
      <c r="K2" s="449"/>
      <c r="L2" s="449"/>
      <c r="M2" s="449"/>
      <c r="N2" s="449"/>
      <c r="O2" s="449"/>
    </row>
    <row r="3" spans="1:15" s="17" customFormat="1" ht="15" customHeight="1">
      <c r="A3" s="442" t="s">
        <v>606</v>
      </c>
      <c r="B3" s="441"/>
      <c r="C3" s="441"/>
      <c r="D3" s="441"/>
      <c r="E3" s="441"/>
      <c r="F3" s="441"/>
      <c r="G3" s="441"/>
      <c r="H3" s="441" t="s">
        <v>607</v>
      </c>
      <c r="I3" s="441"/>
      <c r="J3" s="441"/>
      <c r="K3" s="441"/>
      <c r="L3" s="441"/>
      <c r="M3" s="441"/>
      <c r="N3" s="441"/>
      <c r="O3" s="441"/>
    </row>
    <row r="4" spans="1:15" s="57" customFormat="1" ht="15" customHeight="1" thickBot="1">
      <c r="A4" s="213"/>
      <c r="B4" s="213"/>
      <c r="C4" s="60"/>
      <c r="D4" s="60"/>
      <c r="E4" s="60"/>
      <c r="F4" s="60"/>
      <c r="G4" s="61" t="s">
        <v>727</v>
      </c>
      <c r="I4" s="60"/>
      <c r="J4" s="60"/>
      <c r="K4" s="60"/>
      <c r="M4" s="214"/>
      <c r="N4" s="214"/>
      <c r="O4" s="71" t="s">
        <v>189</v>
      </c>
    </row>
    <row r="5" spans="1:15" s="2" customFormat="1" ht="27.75" customHeight="1">
      <c r="A5" s="456" t="s">
        <v>728</v>
      </c>
      <c r="B5" s="457"/>
      <c r="C5" s="323" t="s">
        <v>474</v>
      </c>
      <c r="D5" s="251" t="s">
        <v>475</v>
      </c>
      <c r="E5" s="251" t="s">
        <v>476</v>
      </c>
      <c r="F5" s="251" t="s">
        <v>477</v>
      </c>
      <c r="G5" s="251" t="s">
        <v>478</v>
      </c>
      <c r="H5" s="250" t="s">
        <v>479</v>
      </c>
      <c r="I5" s="251" t="s">
        <v>480</v>
      </c>
      <c r="J5" s="251" t="s">
        <v>481</v>
      </c>
      <c r="K5" s="251" t="s">
        <v>482</v>
      </c>
      <c r="L5" s="251" t="s">
        <v>483</v>
      </c>
      <c r="M5" s="251" t="s">
        <v>484</v>
      </c>
      <c r="N5" s="251" t="s">
        <v>485</v>
      </c>
      <c r="O5" s="253" t="s">
        <v>486</v>
      </c>
    </row>
    <row r="6" spans="1:15" s="49" customFormat="1" ht="39.75" customHeight="1" thickBot="1">
      <c r="A6" s="445" t="s">
        <v>729</v>
      </c>
      <c r="B6" s="446"/>
      <c r="C6" s="215" t="s">
        <v>487</v>
      </c>
      <c r="D6" s="65" t="s">
        <v>488</v>
      </c>
      <c r="E6" s="65" t="s">
        <v>489</v>
      </c>
      <c r="F6" s="65" t="s">
        <v>490</v>
      </c>
      <c r="G6" s="65" t="s">
        <v>192</v>
      </c>
      <c r="H6" s="64" t="s">
        <v>492</v>
      </c>
      <c r="I6" s="65" t="s">
        <v>193</v>
      </c>
      <c r="J6" s="65" t="s">
        <v>494</v>
      </c>
      <c r="K6" s="65" t="s">
        <v>194</v>
      </c>
      <c r="L6" s="65" t="s">
        <v>496</v>
      </c>
      <c r="M6" s="65" t="s">
        <v>497</v>
      </c>
      <c r="N6" s="65" t="s">
        <v>498</v>
      </c>
      <c r="O6" s="66" t="s">
        <v>499</v>
      </c>
    </row>
    <row r="7" spans="1:15" s="6" customFormat="1" ht="16.5" customHeight="1">
      <c r="A7" s="317" t="s">
        <v>734</v>
      </c>
      <c r="B7" s="297" t="s">
        <v>175</v>
      </c>
      <c r="C7" s="216">
        <v>1024521</v>
      </c>
      <c r="D7" s="298" t="s">
        <v>760</v>
      </c>
      <c r="E7" s="217">
        <v>316388</v>
      </c>
      <c r="F7" s="217">
        <v>8371</v>
      </c>
      <c r="G7" s="217">
        <v>1869991</v>
      </c>
      <c r="H7" s="299" t="s">
        <v>760</v>
      </c>
      <c r="I7" s="217">
        <v>2545697</v>
      </c>
      <c r="J7" s="218">
        <v>56617</v>
      </c>
      <c r="K7" s="298" t="s">
        <v>760</v>
      </c>
      <c r="L7" s="218">
        <v>185841</v>
      </c>
      <c r="M7" s="217">
        <v>874022</v>
      </c>
      <c r="N7" s="218">
        <v>50000</v>
      </c>
      <c r="O7" s="219">
        <v>2000</v>
      </c>
    </row>
    <row r="8" spans="1:15" s="6" customFormat="1" ht="21.75" customHeight="1">
      <c r="A8" s="206">
        <v>1995</v>
      </c>
      <c r="B8" s="297" t="s">
        <v>722</v>
      </c>
      <c r="C8" s="216">
        <v>1038651</v>
      </c>
      <c r="D8" s="298" t="s">
        <v>723</v>
      </c>
      <c r="E8" s="217">
        <v>357544</v>
      </c>
      <c r="F8" s="217">
        <v>12871</v>
      </c>
      <c r="G8" s="217">
        <v>2080901</v>
      </c>
      <c r="H8" s="299" t="s">
        <v>723</v>
      </c>
      <c r="I8" s="217">
        <v>2731791</v>
      </c>
      <c r="J8" s="218">
        <v>56617</v>
      </c>
      <c r="K8" s="298" t="s">
        <v>723</v>
      </c>
      <c r="L8" s="218">
        <v>152485</v>
      </c>
      <c r="M8" s="217">
        <v>874022</v>
      </c>
      <c r="N8" s="218">
        <v>60000</v>
      </c>
      <c r="O8" s="219">
        <v>2000</v>
      </c>
    </row>
    <row r="9" spans="1:15" s="15" customFormat="1" ht="6.75" customHeight="1">
      <c r="A9" s="206"/>
      <c r="B9" s="52"/>
      <c r="C9" s="207"/>
      <c r="D9" s="69"/>
      <c r="E9" s="69"/>
      <c r="F9" s="69"/>
      <c r="G9" s="69"/>
      <c r="H9" s="70"/>
      <c r="I9" s="69"/>
      <c r="J9" s="69"/>
      <c r="K9" s="69"/>
      <c r="L9" s="69"/>
      <c r="M9" s="69"/>
      <c r="N9" s="69"/>
      <c r="O9" s="205"/>
    </row>
    <row r="10" spans="1:15" s="6" customFormat="1" ht="16.5" customHeight="1">
      <c r="A10" s="206" t="s">
        <v>176</v>
      </c>
      <c r="B10" s="297" t="s">
        <v>725</v>
      </c>
      <c r="C10" s="216">
        <v>115270</v>
      </c>
      <c r="D10" s="298" t="s">
        <v>723</v>
      </c>
      <c r="E10" s="217">
        <v>293868</v>
      </c>
      <c r="F10" s="217">
        <v>7300</v>
      </c>
      <c r="G10" s="217">
        <v>601842</v>
      </c>
      <c r="H10" s="299" t="s">
        <v>723</v>
      </c>
      <c r="I10" s="217">
        <v>2574491</v>
      </c>
      <c r="J10" s="218">
        <v>41265</v>
      </c>
      <c r="K10" s="298" t="s">
        <v>723</v>
      </c>
      <c r="L10" s="218">
        <v>125000</v>
      </c>
      <c r="M10" s="217">
        <v>908482</v>
      </c>
      <c r="N10" s="218">
        <v>60000</v>
      </c>
      <c r="O10" s="219">
        <v>3000</v>
      </c>
    </row>
    <row r="11" spans="1:15" s="25" customFormat="1" ht="21.75" customHeight="1">
      <c r="A11" s="206">
        <v>1996</v>
      </c>
      <c r="B11" s="297" t="s">
        <v>722</v>
      </c>
      <c r="C11" s="216">
        <v>115270</v>
      </c>
      <c r="D11" s="298" t="s">
        <v>723</v>
      </c>
      <c r="E11" s="217">
        <v>293868</v>
      </c>
      <c r="F11" s="217">
        <v>7300</v>
      </c>
      <c r="G11" s="217">
        <v>601842</v>
      </c>
      <c r="H11" s="299" t="s">
        <v>723</v>
      </c>
      <c r="I11" s="217">
        <v>2574491</v>
      </c>
      <c r="J11" s="218">
        <v>41265</v>
      </c>
      <c r="K11" s="298" t="s">
        <v>723</v>
      </c>
      <c r="L11" s="218">
        <v>125000</v>
      </c>
      <c r="M11" s="217">
        <v>908482</v>
      </c>
      <c r="N11" s="218">
        <v>60000</v>
      </c>
      <c r="O11" s="219">
        <v>3000</v>
      </c>
    </row>
    <row r="12" spans="1:15" s="15" customFormat="1" ht="6.75" customHeight="1">
      <c r="A12" s="206"/>
      <c r="B12" s="52"/>
      <c r="C12" s="207"/>
      <c r="D12" s="69"/>
      <c r="E12" s="69"/>
      <c r="F12" s="69"/>
      <c r="G12" s="69"/>
      <c r="H12" s="70"/>
      <c r="I12" s="69"/>
      <c r="J12" s="69"/>
      <c r="K12" s="69"/>
      <c r="L12" s="69"/>
      <c r="M12" s="69"/>
      <c r="N12" s="69"/>
      <c r="O12" s="205"/>
    </row>
    <row r="13" spans="1:15" s="25" customFormat="1" ht="16.5" customHeight="1">
      <c r="A13" s="206" t="s">
        <v>177</v>
      </c>
      <c r="B13" s="297" t="s">
        <v>725</v>
      </c>
      <c r="C13" s="216">
        <v>1890099</v>
      </c>
      <c r="D13" s="298" t="s">
        <v>723</v>
      </c>
      <c r="E13" s="217">
        <v>318737</v>
      </c>
      <c r="F13" s="217">
        <v>7506</v>
      </c>
      <c r="G13" s="217">
        <v>2506511</v>
      </c>
      <c r="H13" s="299" t="s">
        <v>723</v>
      </c>
      <c r="I13" s="217">
        <v>3047272</v>
      </c>
      <c r="J13" s="218">
        <v>43369</v>
      </c>
      <c r="K13" s="298" t="s">
        <v>723</v>
      </c>
      <c r="L13" s="298" t="s">
        <v>723</v>
      </c>
      <c r="M13" s="217">
        <v>1198837</v>
      </c>
      <c r="N13" s="218">
        <v>60000</v>
      </c>
      <c r="O13" s="219">
        <v>3000</v>
      </c>
    </row>
    <row r="14" spans="1:15" s="25" customFormat="1" ht="21.75" customHeight="1">
      <c r="A14" s="206">
        <v>1997</v>
      </c>
      <c r="B14" s="297" t="s">
        <v>722</v>
      </c>
      <c r="C14" s="216">
        <v>1890099</v>
      </c>
      <c r="D14" s="298" t="s">
        <v>723</v>
      </c>
      <c r="E14" s="217">
        <v>318737</v>
      </c>
      <c r="F14" s="217">
        <v>7506</v>
      </c>
      <c r="G14" s="217">
        <v>2506511</v>
      </c>
      <c r="H14" s="299" t="s">
        <v>723</v>
      </c>
      <c r="I14" s="217">
        <v>3047272</v>
      </c>
      <c r="J14" s="218">
        <v>43369</v>
      </c>
      <c r="K14" s="298" t="s">
        <v>723</v>
      </c>
      <c r="L14" s="298" t="s">
        <v>723</v>
      </c>
      <c r="M14" s="217">
        <v>1198837</v>
      </c>
      <c r="N14" s="218">
        <v>60000</v>
      </c>
      <c r="O14" s="219">
        <v>3000</v>
      </c>
    </row>
    <row r="15" spans="1:15" s="15" customFormat="1" ht="6.75" customHeight="1">
      <c r="A15" s="206"/>
      <c r="B15" s="52"/>
      <c r="C15" s="207"/>
      <c r="D15" s="69"/>
      <c r="E15" s="69"/>
      <c r="F15" s="69"/>
      <c r="G15" s="69"/>
      <c r="H15" s="70"/>
      <c r="I15" s="69"/>
      <c r="J15" s="69"/>
      <c r="K15" s="69"/>
      <c r="L15" s="69"/>
      <c r="M15" s="69"/>
      <c r="N15" s="69"/>
      <c r="O15" s="205"/>
    </row>
    <row r="16" spans="1:15" s="25" customFormat="1" ht="16.5" customHeight="1">
      <c r="A16" s="206" t="s">
        <v>178</v>
      </c>
      <c r="B16" s="297" t="s">
        <v>725</v>
      </c>
      <c r="C16" s="216">
        <v>2383151</v>
      </c>
      <c r="D16" s="298" t="s">
        <v>723</v>
      </c>
      <c r="E16" s="217">
        <v>303740</v>
      </c>
      <c r="F16" s="217">
        <v>19050</v>
      </c>
      <c r="G16" s="217">
        <v>1182525</v>
      </c>
      <c r="H16" s="299" t="s">
        <v>723</v>
      </c>
      <c r="I16" s="217">
        <v>3452425</v>
      </c>
      <c r="J16" s="218">
        <v>43296</v>
      </c>
      <c r="K16" s="298" t="s">
        <v>723</v>
      </c>
      <c r="L16" s="298" t="s">
        <v>723</v>
      </c>
      <c r="M16" s="217">
        <v>1136603</v>
      </c>
      <c r="N16" s="218">
        <v>60000</v>
      </c>
      <c r="O16" s="219">
        <v>3000</v>
      </c>
    </row>
    <row r="17" spans="1:15" s="25" customFormat="1" ht="21.75" customHeight="1">
      <c r="A17" s="206">
        <v>1998</v>
      </c>
      <c r="B17" s="297" t="s">
        <v>722</v>
      </c>
      <c r="C17" s="216">
        <v>2383151</v>
      </c>
      <c r="D17" s="298" t="s">
        <v>723</v>
      </c>
      <c r="E17" s="217">
        <v>303740</v>
      </c>
      <c r="F17" s="217">
        <v>19050</v>
      </c>
      <c r="G17" s="217">
        <v>1182525</v>
      </c>
      <c r="H17" s="299" t="s">
        <v>723</v>
      </c>
      <c r="I17" s="217">
        <v>3452425</v>
      </c>
      <c r="J17" s="218">
        <v>43296</v>
      </c>
      <c r="K17" s="298" t="s">
        <v>723</v>
      </c>
      <c r="L17" s="298" t="s">
        <v>723</v>
      </c>
      <c r="M17" s="217">
        <v>1136603</v>
      </c>
      <c r="N17" s="218">
        <v>60000</v>
      </c>
      <c r="O17" s="219">
        <v>3000</v>
      </c>
    </row>
    <row r="18" spans="1:15" s="15" customFormat="1" ht="6.75" customHeight="1">
      <c r="A18" s="206"/>
      <c r="B18" s="52"/>
      <c r="C18" s="207"/>
      <c r="D18" s="69"/>
      <c r="E18" s="69"/>
      <c r="F18" s="69"/>
      <c r="G18" s="69"/>
      <c r="H18" s="70"/>
      <c r="I18" s="69"/>
      <c r="J18" s="69"/>
      <c r="K18" s="69"/>
      <c r="L18" s="69"/>
      <c r="M18" s="69"/>
      <c r="N18" s="69"/>
      <c r="O18" s="205"/>
    </row>
    <row r="19" spans="1:15" s="25" customFormat="1" ht="16.5" customHeight="1">
      <c r="A19" s="206" t="s">
        <v>179</v>
      </c>
      <c r="B19" s="297" t="s">
        <v>725</v>
      </c>
      <c r="C19" s="216">
        <v>2164352</v>
      </c>
      <c r="D19" s="298" t="s">
        <v>723</v>
      </c>
      <c r="E19" s="217">
        <v>358459</v>
      </c>
      <c r="F19" s="217">
        <v>40618</v>
      </c>
      <c r="G19" s="217">
        <v>994457</v>
      </c>
      <c r="H19" s="299" t="s">
        <v>723</v>
      </c>
      <c r="I19" s="217">
        <v>3636342</v>
      </c>
      <c r="J19" s="218">
        <v>41856</v>
      </c>
      <c r="K19" s="298" t="s">
        <v>723</v>
      </c>
      <c r="L19" s="298" t="s">
        <v>723</v>
      </c>
      <c r="M19" s="217">
        <v>1122456</v>
      </c>
      <c r="N19" s="218">
        <v>60000</v>
      </c>
      <c r="O19" s="219">
        <v>381527</v>
      </c>
    </row>
    <row r="20" spans="1:15" s="25" customFormat="1" ht="21.75" customHeight="1">
      <c r="A20" s="206">
        <v>1999</v>
      </c>
      <c r="B20" s="297" t="s">
        <v>722</v>
      </c>
      <c r="C20" s="216">
        <v>2230484</v>
      </c>
      <c r="D20" s="298" t="s">
        <v>723</v>
      </c>
      <c r="E20" s="217">
        <v>358459</v>
      </c>
      <c r="F20" s="217">
        <v>40618</v>
      </c>
      <c r="G20" s="217">
        <v>994457</v>
      </c>
      <c r="H20" s="299" t="s">
        <v>723</v>
      </c>
      <c r="I20" s="217">
        <v>3706181</v>
      </c>
      <c r="J20" s="218">
        <v>41856</v>
      </c>
      <c r="K20" s="298" t="s">
        <v>723</v>
      </c>
      <c r="L20" s="298" t="s">
        <v>723</v>
      </c>
      <c r="M20" s="217">
        <v>1140075</v>
      </c>
      <c r="N20" s="218">
        <v>60000</v>
      </c>
      <c r="O20" s="219">
        <v>381527</v>
      </c>
    </row>
    <row r="21" spans="1:15" s="15" customFormat="1" ht="6.75" customHeight="1">
      <c r="A21" s="206"/>
      <c r="B21" s="52"/>
      <c r="C21" s="207"/>
      <c r="D21" s="69"/>
      <c r="E21" s="69"/>
      <c r="F21" s="69"/>
      <c r="G21" s="69"/>
      <c r="H21" s="70"/>
      <c r="I21" s="69"/>
      <c r="J21" s="69"/>
      <c r="K21" s="69"/>
      <c r="L21" s="69"/>
      <c r="M21" s="69"/>
      <c r="N21" s="69"/>
      <c r="O21" s="205"/>
    </row>
    <row r="22" spans="1:15" s="25" customFormat="1" ht="16.5" customHeight="1">
      <c r="A22" s="450" t="s">
        <v>726</v>
      </c>
      <c r="B22" s="297" t="s">
        <v>725</v>
      </c>
      <c r="C22" s="216">
        <v>4225950</v>
      </c>
      <c r="D22" s="298" t="s">
        <v>723</v>
      </c>
      <c r="E22" s="217">
        <v>504977</v>
      </c>
      <c r="F22" s="217">
        <v>235905</v>
      </c>
      <c r="G22" s="217">
        <v>1159099</v>
      </c>
      <c r="H22" s="220">
        <v>3780793</v>
      </c>
      <c r="I22" s="217">
        <v>6379973</v>
      </c>
      <c r="J22" s="218">
        <v>47179</v>
      </c>
      <c r="K22" s="298" t="s">
        <v>723</v>
      </c>
      <c r="L22" s="298" t="s">
        <v>723</v>
      </c>
      <c r="M22" s="298" t="s">
        <v>723</v>
      </c>
      <c r="N22" s="218">
        <v>90000</v>
      </c>
      <c r="O22" s="219">
        <v>474212</v>
      </c>
    </row>
    <row r="23" spans="1:15" s="25" customFormat="1" ht="21.75" customHeight="1">
      <c r="A23" s="451"/>
      <c r="B23" s="297" t="s">
        <v>722</v>
      </c>
      <c r="C23" s="216">
        <v>4225950</v>
      </c>
      <c r="D23" s="298" t="s">
        <v>723</v>
      </c>
      <c r="E23" s="217">
        <v>504977</v>
      </c>
      <c r="F23" s="217">
        <v>235905</v>
      </c>
      <c r="G23" s="217">
        <v>1159099</v>
      </c>
      <c r="H23" s="220">
        <v>3780793</v>
      </c>
      <c r="I23" s="217">
        <v>6379973</v>
      </c>
      <c r="J23" s="218">
        <v>47179</v>
      </c>
      <c r="K23" s="298" t="s">
        <v>723</v>
      </c>
      <c r="L23" s="298" t="s">
        <v>723</v>
      </c>
      <c r="M23" s="298" t="s">
        <v>723</v>
      </c>
      <c r="N23" s="218">
        <v>90000</v>
      </c>
      <c r="O23" s="219">
        <v>474212</v>
      </c>
    </row>
    <row r="24" spans="1:15" s="15" customFormat="1" ht="6.75" customHeight="1">
      <c r="A24" s="206"/>
      <c r="B24" s="52"/>
      <c r="C24" s="207"/>
      <c r="D24" s="69"/>
      <c r="E24" s="69"/>
      <c r="F24" s="69"/>
      <c r="G24" s="69"/>
      <c r="H24" s="70"/>
      <c r="I24" s="69"/>
      <c r="J24" s="69"/>
      <c r="K24" s="69"/>
      <c r="L24" s="69"/>
      <c r="M24" s="69"/>
      <c r="N24" s="69"/>
      <c r="O24" s="205"/>
    </row>
    <row r="25" spans="1:15" s="25" customFormat="1" ht="16.5" customHeight="1">
      <c r="A25" s="206" t="s">
        <v>180</v>
      </c>
      <c r="B25" s="297" t="s">
        <v>725</v>
      </c>
      <c r="C25" s="216">
        <v>3229539</v>
      </c>
      <c r="D25" s="298" t="s">
        <v>723</v>
      </c>
      <c r="E25" s="217">
        <v>306936</v>
      </c>
      <c r="F25" s="217">
        <v>25722</v>
      </c>
      <c r="G25" s="217">
        <v>1055065</v>
      </c>
      <c r="H25" s="220">
        <v>2621838</v>
      </c>
      <c r="I25" s="217">
        <v>4418203</v>
      </c>
      <c r="J25" s="218">
        <v>266669</v>
      </c>
      <c r="K25" s="298" t="s">
        <v>723</v>
      </c>
      <c r="L25" s="298" t="s">
        <v>723</v>
      </c>
      <c r="M25" s="298" t="s">
        <v>723</v>
      </c>
      <c r="N25" s="218">
        <v>60000</v>
      </c>
      <c r="O25" s="219">
        <v>394385</v>
      </c>
    </row>
    <row r="26" spans="1:15" s="25" customFormat="1" ht="21.75" customHeight="1">
      <c r="A26" s="206">
        <v>2001</v>
      </c>
      <c r="B26" s="297" t="s">
        <v>722</v>
      </c>
      <c r="C26" s="216">
        <v>3229539</v>
      </c>
      <c r="D26" s="298" t="s">
        <v>723</v>
      </c>
      <c r="E26" s="217">
        <v>306936</v>
      </c>
      <c r="F26" s="217">
        <v>25722</v>
      </c>
      <c r="G26" s="217">
        <v>1055065</v>
      </c>
      <c r="H26" s="220">
        <v>2621838</v>
      </c>
      <c r="I26" s="217">
        <v>4418203</v>
      </c>
      <c r="J26" s="218">
        <v>266669</v>
      </c>
      <c r="K26" s="298" t="s">
        <v>723</v>
      </c>
      <c r="L26" s="298" t="s">
        <v>723</v>
      </c>
      <c r="M26" s="298" t="s">
        <v>723</v>
      </c>
      <c r="N26" s="218">
        <v>60000</v>
      </c>
      <c r="O26" s="219">
        <v>394385</v>
      </c>
    </row>
    <row r="27" spans="1:15" s="15" customFormat="1" ht="6.75" customHeight="1">
      <c r="A27" s="206"/>
      <c r="B27" s="52"/>
      <c r="C27" s="207"/>
      <c r="D27" s="69"/>
      <c r="E27" s="69"/>
      <c r="F27" s="69"/>
      <c r="G27" s="69"/>
      <c r="H27" s="70"/>
      <c r="I27" s="69"/>
      <c r="J27" s="69"/>
      <c r="K27" s="69"/>
      <c r="L27" s="69"/>
      <c r="M27" s="69"/>
      <c r="N27" s="69"/>
      <c r="O27" s="205"/>
    </row>
    <row r="28" spans="1:15" s="25" customFormat="1" ht="16.5" customHeight="1">
      <c r="A28" s="206" t="s">
        <v>181</v>
      </c>
      <c r="B28" s="297" t="s">
        <v>725</v>
      </c>
      <c r="C28" s="216">
        <v>1202848</v>
      </c>
      <c r="D28" s="298" t="s">
        <v>723</v>
      </c>
      <c r="E28" s="217">
        <v>372746</v>
      </c>
      <c r="F28" s="217">
        <v>22139</v>
      </c>
      <c r="G28" s="217">
        <v>1477900</v>
      </c>
      <c r="H28" s="220">
        <v>1540009</v>
      </c>
      <c r="I28" s="217">
        <v>3878525</v>
      </c>
      <c r="J28" s="218">
        <v>290000</v>
      </c>
      <c r="K28" s="298" t="s">
        <v>723</v>
      </c>
      <c r="L28" s="298" t="s">
        <v>723</v>
      </c>
      <c r="M28" s="298" t="s">
        <v>723</v>
      </c>
      <c r="N28" s="218">
        <v>60000</v>
      </c>
      <c r="O28" s="219">
        <v>155486</v>
      </c>
    </row>
    <row r="29" spans="1:15" s="25" customFormat="1" ht="21.75" customHeight="1">
      <c r="A29" s="206">
        <v>2002</v>
      </c>
      <c r="B29" s="297" t="s">
        <v>722</v>
      </c>
      <c r="C29" s="216">
        <v>2316421</v>
      </c>
      <c r="D29" s="298" t="s">
        <v>723</v>
      </c>
      <c r="E29" s="217">
        <v>407892</v>
      </c>
      <c r="F29" s="217">
        <v>22139</v>
      </c>
      <c r="G29" s="217">
        <v>1613667</v>
      </c>
      <c r="H29" s="220">
        <v>2475009</v>
      </c>
      <c r="I29" s="217">
        <v>4259701</v>
      </c>
      <c r="J29" s="218">
        <v>764663</v>
      </c>
      <c r="K29" s="298" t="s">
        <v>723</v>
      </c>
      <c r="L29" s="298" t="s">
        <v>723</v>
      </c>
      <c r="M29" s="298" t="s">
        <v>723</v>
      </c>
      <c r="N29" s="218">
        <v>60000</v>
      </c>
      <c r="O29" s="219">
        <v>2812124</v>
      </c>
    </row>
    <row r="30" spans="1:15" s="15" customFormat="1" ht="6.75" customHeight="1">
      <c r="A30" s="206"/>
      <c r="B30" s="52"/>
      <c r="C30" s="207"/>
      <c r="D30" s="69"/>
      <c r="E30" s="69"/>
      <c r="F30" s="69"/>
      <c r="G30" s="69"/>
      <c r="H30" s="70"/>
      <c r="I30" s="69"/>
      <c r="J30" s="69"/>
      <c r="K30" s="69"/>
      <c r="L30" s="69"/>
      <c r="M30" s="69"/>
      <c r="N30" s="69"/>
      <c r="O30" s="205"/>
    </row>
    <row r="31" spans="1:15" s="25" customFormat="1" ht="16.5" customHeight="1">
      <c r="A31" s="206" t="s">
        <v>182</v>
      </c>
      <c r="B31" s="297" t="s">
        <v>725</v>
      </c>
      <c r="C31" s="216">
        <v>2089527</v>
      </c>
      <c r="D31" s="298" t="s">
        <v>723</v>
      </c>
      <c r="E31" s="217">
        <v>354431</v>
      </c>
      <c r="F31" s="217">
        <v>24019</v>
      </c>
      <c r="G31" s="217">
        <v>1696565</v>
      </c>
      <c r="H31" s="220">
        <v>2917684</v>
      </c>
      <c r="I31" s="217">
        <v>4284112</v>
      </c>
      <c r="J31" s="218">
        <v>650000</v>
      </c>
      <c r="K31" s="298" t="s">
        <v>723</v>
      </c>
      <c r="L31" s="298" t="s">
        <v>723</v>
      </c>
      <c r="M31" s="298" t="s">
        <v>723</v>
      </c>
      <c r="N31" s="218">
        <v>80000</v>
      </c>
      <c r="O31" s="219">
        <v>999751</v>
      </c>
    </row>
    <row r="32" spans="1:15" s="25" customFormat="1" ht="21.75" customHeight="1">
      <c r="A32" s="206">
        <v>2003</v>
      </c>
      <c r="B32" s="297" t="s">
        <v>722</v>
      </c>
      <c r="C32" s="216">
        <v>2089527</v>
      </c>
      <c r="D32" s="298" t="s">
        <v>723</v>
      </c>
      <c r="E32" s="217">
        <v>354431</v>
      </c>
      <c r="F32" s="217">
        <v>24019</v>
      </c>
      <c r="G32" s="217">
        <v>1696565</v>
      </c>
      <c r="H32" s="220">
        <v>2917684</v>
      </c>
      <c r="I32" s="217">
        <v>4284112</v>
      </c>
      <c r="J32" s="218">
        <v>650000</v>
      </c>
      <c r="K32" s="298" t="s">
        <v>723</v>
      </c>
      <c r="L32" s="298" t="s">
        <v>723</v>
      </c>
      <c r="M32" s="298" t="s">
        <v>723</v>
      </c>
      <c r="N32" s="218">
        <v>80000</v>
      </c>
      <c r="O32" s="219">
        <v>999751</v>
      </c>
    </row>
    <row r="33" spans="1:15" s="15" customFormat="1" ht="6.75" customHeight="1">
      <c r="A33" s="206"/>
      <c r="B33" s="52"/>
      <c r="C33" s="207"/>
      <c r="D33" s="69"/>
      <c r="E33" s="69"/>
      <c r="F33" s="69"/>
      <c r="G33" s="69"/>
      <c r="H33" s="70"/>
      <c r="I33" s="69"/>
      <c r="J33" s="69"/>
      <c r="K33" s="69"/>
      <c r="L33" s="69"/>
      <c r="M33" s="69"/>
      <c r="N33" s="69"/>
      <c r="O33" s="205"/>
    </row>
    <row r="34" spans="1:15" s="25" customFormat="1" ht="16.5" customHeight="1">
      <c r="A34" s="206" t="s">
        <v>183</v>
      </c>
      <c r="B34" s="297" t="s">
        <v>725</v>
      </c>
      <c r="C34" s="216">
        <v>2600986</v>
      </c>
      <c r="D34" s="298" t="s">
        <v>733</v>
      </c>
      <c r="E34" s="217">
        <v>498072</v>
      </c>
      <c r="F34" s="217">
        <v>89208</v>
      </c>
      <c r="G34" s="217">
        <v>1565214</v>
      </c>
      <c r="H34" s="220">
        <v>3859116</v>
      </c>
      <c r="I34" s="217">
        <v>4229392</v>
      </c>
      <c r="J34" s="218">
        <v>521548</v>
      </c>
      <c r="K34" s="298" t="s">
        <v>733</v>
      </c>
      <c r="L34" s="298" t="s">
        <v>733</v>
      </c>
      <c r="M34" s="298" t="s">
        <v>733</v>
      </c>
      <c r="N34" s="218">
        <v>80000</v>
      </c>
      <c r="O34" s="219">
        <v>1015000</v>
      </c>
    </row>
    <row r="35" spans="1:15" s="25" customFormat="1" ht="21.75" customHeight="1">
      <c r="A35" s="206">
        <v>2004</v>
      </c>
      <c r="B35" s="297" t="s">
        <v>722</v>
      </c>
      <c r="C35" s="216">
        <v>2600986</v>
      </c>
      <c r="D35" s="298" t="s">
        <v>733</v>
      </c>
      <c r="E35" s="217">
        <v>498072</v>
      </c>
      <c r="F35" s="217">
        <v>89208</v>
      </c>
      <c r="G35" s="217">
        <v>1565214</v>
      </c>
      <c r="H35" s="220">
        <v>3859116</v>
      </c>
      <c r="I35" s="217">
        <v>4229392</v>
      </c>
      <c r="J35" s="218">
        <v>521548</v>
      </c>
      <c r="K35" s="298" t="s">
        <v>733</v>
      </c>
      <c r="L35" s="298" t="s">
        <v>733</v>
      </c>
      <c r="M35" s="298" t="s">
        <v>733</v>
      </c>
      <c r="N35" s="218">
        <v>80000</v>
      </c>
      <c r="O35" s="219">
        <v>1015000</v>
      </c>
    </row>
    <row r="36" spans="1:15" s="15" customFormat="1" ht="6.75" customHeight="1">
      <c r="A36" s="206"/>
      <c r="B36" s="52"/>
      <c r="C36" s="207"/>
      <c r="D36" s="69"/>
      <c r="E36" s="69"/>
      <c r="F36" s="69"/>
      <c r="G36" s="69"/>
      <c r="H36" s="70"/>
      <c r="I36" s="69"/>
      <c r="J36" s="69"/>
      <c r="K36" s="69"/>
      <c r="L36" s="69"/>
      <c r="M36" s="69"/>
      <c r="N36" s="69"/>
      <c r="O36" s="205"/>
    </row>
    <row r="37" spans="1:15" s="25" customFormat="1" ht="16.5" customHeight="1">
      <c r="A37" s="206" t="s">
        <v>184</v>
      </c>
      <c r="B37" s="297" t="s">
        <v>725</v>
      </c>
      <c r="C37" s="216">
        <v>2860079</v>
      </c>
      <c r="D37" s="298" t="s">
        <v>723</v>
      </c>
      <c r="E37" s="217">
        <v>582320</v>
      </c>
      <c r="F37" s="217">
        <v>160323</v>
      </c>
      <c r="G37" s="217">
        <v>1837367</v>
      </c>
      <c r="H37" s="220">
        <v>3859802</v>
      </c>
      <c r="I37" s="217">
        <v>4472075</v>
      </c>
      <c r="J37" s="218">
        <v>389406</v>
      </c>
      <c r="K37" s="298" t="s">
        <v>723</v>
      </c>
      <c r="L37" s="298" t="s">
        <v>723</v>
      </c>
      <c r="M37" s="298" t="s">
        <v>723</v>
      </c>
      <c r="N37" s="218">
        <v>80000</v>
      </c>
      <c r="O37" s="219">
        <v>1211920</v>
      </c>
    </row>
    <row r="38" spans="1:15" s="25" customFormat="1" ht="21.75" customHeight="1" thickBot="1">
      <c r="A38" s="71">
        <v>2005</v>
      </c>
      <c r="B38" s="300" t="s">
        <v>722</v>
      </c>
      <c r="C38" s="221">
        <v>2860079</v>
      </c>
      <c r="D38" s="301" t="s">
        <v>723</v>
      </c>
      <c r="E38" s="222">
        <v>582320</v>
      </c>
      <c r="F38" s="222">
        <v>160323</v>
      </c>
      <c r="G38" s="222">
        <v>1837367</v>
      </c>
      <c r="H38" s="223">
        <v>3859802</v>
      </c>
      <c r="I38" s="222">
        <v>4472075</v>
      </c>
      <c r="J38" s="224">
        <v>389406</v>
      </c>
      <c r="K38" s="301" t="s">
        <v>723</v>
      </c>
      <c r="L38" s="301" t="s">
        <v>723</v>
      </c>
      <c r="M38" s="301" t="s">
        <v>723</v>
      </c>
      <c r="N38" s="224">
        <v>80000</v>
      </c>
      <c r="O38" s="225">
        <v>1211920</v>
      </c>
    </row>
    <row r="39" s="15" customFormat="1" ht="13.5">
      <c r="A39" s="226"/>
    </row>
  </sheetData>
  <mergeCells count="7">
    <mergeCell ref="A22:A23"/>
    <mergeCell ref="H2:O2"/>
    <mergeCell ref="H3:O3"/>
    <mergeCell ref="A6:B6"/>
    <mergeCell ref="A5:B5"/>
    <mergeCell ref="A2:G2"/>
    <mergeCell ref="A3:G3"/>
  </mergeCells>
  <printOptions/>
  <pageMargins left="1.141732283464567" right="1.141732283464567" top="1.5748031496062993" bottom="1.5748031496062993" header="0.5118110236220472" footer="0.9055118110236221"/>
  <pageSetup firstPageNumber="288" useFirstPageNumber="1" horizontalDpi="96" verticalDpi="96" orientation="portrait" paperSize="9" r:id="rId1"/>
  <headerFooter alignWithMargins="0">
    <oddFooter>&amp;C&amp;"超研澤中圓,Regula"&amp;11‧&amp;"Times New Roman,標準"&amp;P&amp;"超研澤中圓,Regula"‧</oddFooter>
  </headerFooter>
</worksheet>
</file>

<file path=xl/worksheets/sheet7.xml><?xml version="1.0" encoding="utf-8"?>
<worksheet xmlns="http://schemas.openxmlformats.org/spreadsheetml/2006/main" xmlns:r="http://schemas.openxmlformats.org/officeDocument/2006/relationships">
  <sheetPr>
    <tabColor indexed="29"/>
  </sheetPr>
  <dimension ref="A1:O26"/>
  <sheetViews>
    <sheetView showGridLines="0" zoomScale="120" zoomScaleNormal="120" workbookViewId="0" topLeftCell="A1">
      <selection activeCell="A1" sqref="A1"/>
    </sheetView>
  </sheetViews>
  <sheetFormatPr defaultColWidth="9.00390625" defaultRowHeight="16.5"/>
  <cols>
    <col min="1" max="1" width="16.625" style="14" customWidth="1"/>
    <col min="2" max="2" width="9.625" style="14" customWidth="1"/>
    <col min="3" max="3" width="10.125" style="14" customWidth="1"/>
    <col min="4" max="7" width="9.625" style="14" customWidth="1"/>
    <col min="8" max="10" width="9.125" style="14" customWidth="1"/>
    <col min="11" max="11" width="9.375" style="14" customWidth="1"/>
    <col min="12" max="12" width="10.125" style="14" customWidth="1"/>
    <col min="13" max="15" width="9.375" style="14" customWidth="1"/>
    <col min="16" max="16384" width="9.00390625" style="14" customWidth="1"/>
  </cols>
  <sheetData>
    <row r="1" spans="1:15" s="15" customFormat="1" ht="19.5" customHeight="1">
      <c r="A1" s="12" t="s">
        <v>166</v>
      </c>
      <c r="B1" s="27"/>
      <c r="O1" s="53" t="s">
        <v>167</v>
      </c>
    </row>
    <row r="2" spans="1:15" s="17" customFormat="1" ht="33.75" customHeight="1">
      <c r="A2" s="440" t="s">
        <v>195</v>
      </c>
      <c r="B2" s="449"/>
      <c r="C2" s="449"/>
      <c r="D2" s="449"/>
      <c r="E2" s="449"/>
      <c r="F2" s="449"/>
      <c r="G2" s="449"/>
      <c r="H2" s="449" t="s">
        <v>196</v>
      </c>
      <c r="I2" s="449"/>
      <c r="J2" s="449"/>
      <c r="K2" s="449"/>
      <c r="L2" s="449"/>
      <c r="M2" s="449"/>
      <c r="N2" s="449"/>
      <c r="O2" s="449"/>
    </row>
    <row r="3" spans="1:15" s="17" customFormat="1" ht="15" customHeight="1">
      <c r="A3" s="442" t="s">
        <v>197</v>
      </c>
      <c r="B3" s="441"/>
      <c r="C3" s="441"/>
      <c r="D3" s="441"/>
      <c r="E3" s="441"/>
      <c r="F3" s="441"/>
      <c r="G3" s="441"/>
      <c r="H3" s="441" t="s">
        <v>198</v>
      </c>
      <c r="I3" s="441"/>
      <c r="J3" s="441"/>
      <c r="K3" s="441"/>
      <c r="L3" s="441"/>
      <c r="M3" s="441"/>
      <c r="N3" s="441"/>
      <c r="O3" s="441"/>
    </row>
    <row r="4" spans="1:15" s="15" customFormat="1" ht="15" customHeight="1" thickBot="1">
      <c r="A4" s="2"/>
      <c r="B4" s="16"/>
      <c r="C4" s="16"/>
      <c r="D4" s="16"/>
      <c r="E4" s="16"/>
      <c r="G4" s="24" t="s">
        <v>727</v>
      </c>
      <c r="H4" s="16"/>
      <c r="I4" s="16"/>
      <c r="J4" s="45"/>
      <c r="K4" s="45"/>
      <c r="O4" s="26" t="s">
        <v>200</v>
      </c>
    </row>
    <row r="5" spans="1:15" s="15" customFormat="1" ht="37.5" customHeight="1">
      <c r="A5" s="322" t="s">
        <v>728</v>
      </c>
      <c r="B5" s="252" t="s">
        <v>667</v>
      </c>
      <c r="C5" s="305" t="s">
        <v>448</v>
      </c>
      <c r="D5" s="325" t="s">
        <v>449</v>
      </c>
      <c r="E5" s="304" t="s">
        <v>450</v>
      </c>
      <c r="F5" s="304" t="s">
        <v>451</v>
      </c>
      <c r="G5" s="303" t="s">
        <v>452</v>
      </c>
      <c r="H5" s="305" t="s">
        <v>453</v>
      </c>
      <c r="I5" s="303" t="s">
        <v>454</v>
      </c>
      <c r="J5" s="304" t="s">
        <v>455</v>
      </c>
      <c r="K5" s="304" t="s">
        <v>456</v>
      </c>
      <c r="L5" s="304" t="s">
        <v>457</v>
      </c>
      <c r="M5" s="304" t="s">
        <v>458</v>
      </c>
      <c r="N5" s="304" t="s">
        <v>459</v>
      </c>
      <c r="O5" s="326" t="s">
        <v>460</v>
      </c>
    </row>
    <row r="6" spans="1:15" s="38" customFormat="1" ht="42" customHeight="1" thickBot="1">
      <c r="A6" s="28" t="s">
        <v>729</v>
      </c>
      <c r="B6" s="40" t="s">
        <v>730</v>
      </c>
      <c r="C6" s="13" t="s">
        <v>461</v>
      </c>
      <c r="D6" s="13" t="s">
        <v>462</v>
      </c>
      <c r="E6" s="41" t="s">
        <v>463</v>
      </c>
      <c r="F6" s="41" t="s">
        <v>464</v>
      </c>
      <c r="G6" s="41" t="s">
        <v>465</v>
      </c>
      <c r="H6" s="13" t="s">
        <v>466</v>
      </c>
      <c r="I6" s="41" t="s">
        <v>467</v>
      </c>
      <c r="J6" s="41" t="s">
        <v>468</v>
      </c>
      <c r="K6" s="41" t="s">
        <v>469</v>
      </c>
      <c r="L6" s="41" t="s">
        <v>470</v>
      </c>
      <c r="M6" s="41" t="s">
        <v>471</v>
      </c>
      <c r="N6" s="41" t="s">
        <v>472</v>
      </c>
      <c r="O6" s="42" t="s">
        <v>473</v>
      </c>
    </row>
    <row r="7" spans="1:15" s="15" customFormat="1" ht="36.75" customHeight="1">
      <c r="A7" s="306" t="s">
        <v>735</v>
      </c>
      <c r="B7" s="94">
        <v>25474815</v>
      </c>
      <c r="C7" s="95">
        <v>263700</v>
      </c>
      <c r="D7" s="95">
        <v>756032</v>
      </c>
      <c r="E7" s="4">
        <v>1570422</v>
      </c>
      <c r="F7" s="95">
        <v>527142</v>
      </c>
      <c r="G7" s="95">
        <v>11491161</v>
      </c>
      <c r="H7" s="309" t="s">
        <v>760</v>
      </c>
      <c r="I7" s="96">
        <v>680464</v>
      </c>
      <c r="J7" s="95">
        <v>752066</v>
      </c>
      <c r="K7" s="96">
        <v>119970</v>
      </c>
      <c r="L7" s="96">
        <v>2347396</v>
      </c>
      <c r="M7" s="95">
        <v>903805</v>
      </c>
      <c r="N7" s="96">
        <v>369647</v>
      </c>
      <c r="O7" s="108">
        <v>339896</v>
      </c>
    </row>
    <row r="8" spans="1:15" s="15" customFormat="1" ht="10.5" customHeight="1">
      <c r="A8" s="46"/>
      <c r="B8" s="3"/>
      <c r="C8" s="4"/>
      <c r="D8" s="4"/>
      <c r="E8" s="4"/>
      <c r="F8" s="4"/>
      <c r="G8" s="4"/>
      <c r="H8" s="10"/>
      <c r="I8" s="4"/>
      <c r="J8" s="4"/>
      <c r="K8" s="4"/>
      <c r="L8" s="4"/>
      <c r="M8" s="4"/>
      <c r="N8" s="4"/>
      <c r="O8" s="5"/>
    </row>
    <row r="9" spans="1:15" s="15" customFormat="1" ht="36" customHeight="1">
      <c r="A9" s="39" t="s">
        <v>156</v>
      </c>
      <c r="B9" s="94">
        <v>26958950</v>
      </c>
      <c r="C9" s="95">
        <v>718851</v>
      </c>
      <c r="D9" s="95">
        <v>630770</v>
      </c>
      <c r="E9" s="4">
        <v>1269027</v>
      </c>
      <c r="F9" s="95">
        <v>603068</v>
      </c>
      <c r="G9" s="95">
        <v>13234709</v>
      </c>
      <c r="H9" s="309" t="s">
        <v>673</v>
      </c>
      <c r="I9" s="96">
        <v>488343</v>
      </c>
      <c r="J9" s="95">
        <v>730391</v>
      </c>
      <c r="K9" s="96">
        <v>141678</v>
      </c>
      <c r="L9" s="96">
        <v>1910932</v>
      </c>
      <c r="M9" s="95">
        <v>731626</v>
      </c>
      <c r="N9" s="96">
        <v>490601</v>
      </c>
      <c r="O9" s="108">
        <v>300269</v>
      </c>
    </row>
    <row r="10" spans="1:15" s="15" customFormat="1" ht="10.5" customHeight="1">
      <c r="A10" s="46"/>
      <c r="B10" s="3"/>
      <c r="C10" s="4"/>
      <c r="D10" s="4"/>
      <c r="E10" s="4"/>
      <c r="F10" s="4"/>
      <c r="G10" s="4"/>
      <c r="H10" s="10"/>
      <c r="I10" s="4"/>
      <c r="J10" s="4"/>
      <c r="K10" s="4"/>
      <c r="L10" s="4"/>
      <c r="M10" s="4"/>
      <c r="N10" s="4"/>
      <c r="O10" s="5"/>
    </row>
    <row r="11" spans="1:15" s="15" customFormat="1" ht="36.75" customHeight="1">
      <c r="A11" s="39" t="s">
        <v>157</v>
      </c>
      <c r="B11" s="94">
        <v>32008733</v>
      </c>
      <c r="C11" s="95">
        <v>216774</v>
      </c>
      <c r="D11" s="95">
        <v>438998</v>
      </c>
      <c r="E11" s="4">
        <v>1824455</v>
      </c>
      <c r="F11" s="95">
        <v>631312</v>
      </c>
      <c r="G11" s="95">
        <v>11796304</v>
      </c>
      <c r="H11" s="309" t="s">
        <v>158</v>
      </c>
      <c r="I11" s="96">
        <v>733220</v>
      </c>
      <c r="J11" s="95">
        <v>870007</v>
      </c>
      <c r="K11" s="96">
        <v>185428</v>
      </c>
      <c r="L11" s="96">
        <v>3271378</v>
      </c>
      <c r="M11" s="95">
        <v>1359261</v>
      </c>
      <c r="N11" s="96">
        <v>1836480</v>
      </c>
      <c r="O11" s="108">
        <v>869889</v>
      </c>
    </row>
    <row r="12" spans="1:15" s="15" customFormat="1" ht="10.5" customHeight="1">
      <c r="A12" s="46"/>
      <c r="B12" s="3"/>
      <c r="C12" s="4"/>
      <c r="D12" s="4"/>
      <c r="E12" s="4"/>
      <c r="F12" s="4"/>
      <c r="G12" s="4"/>
      <c r="H12" s="10"/>
      <c r="I12" s="4"/>
      <c r="J12" s="4"/>
      <c r="K12" s="4"/>
      <c r="L12" s="4"/>
      <c r="M12" s="4"/>
      <c r="N12" s="4"/>
      <c r="O12" s="5"/>
    </row>
    <row r="13" spans="1:15" s="15" customFormat="1" ht="36.75" customHeight="1">
      <c r="A13" s="39" t="s">
        <v>159</v>
      </c>
      <c r="B13" s="94">
        <v>30917307</v>
      </c>
      <c r="C13" s="95">
        <v>270337</v>
      </c>
      <c r="D13" s="95">
        <v>345173</v>
      </c>
      <c r="E13" s="4">
        <v>1945961</v>
      </c>
      <c r="F13" s="95">
        <v>660150</v>
      </c>
      <c r="G13" s="95">
        <v>12582029</v>
      </c>
      <c r="H13" s="309" t="s">
        <v>158</v>
      </c>
      <c r="I13" s="96">
        <v>529697</v>
      </c>
      <c r="J13" s="95">
        <v>700901</v>
      </c>
      <c r="K13" s="96">
        <v>202319</v>
      </c>
      <c r="L13" s="96">
        <v>1973984</v>
      </c>
      <c r="M13" s="95">
        <v>748720</v>
      </c>
      <c r="N13" s="96">
        <v>2560857</v>
      </c>
      <c r="O13" s="108">
        <v>738827</v>
      </c>
    </row>
    <row r="14" spans="1:15" s="15" customFormat="1" ht="10.5" customHeight="1">
      <c r="A14" s="46"/>
      <c r="B14" s="3"/>
      <c r="C14" s="4"/>
      <c r="D14" s="4"/>
      <c r="E14" s="4"/>
      <c r="F14" s="4"/>
      <c r="G14" s="4"/>
      <c r="H14" s="10"/>
      <c r="I14" s="4"/>
      <c r="J14" s="4"/>
      <c r="K14" s="4"/>
      <c r="L14" s="4"/>
      <c r="M14" s="4"/>
      <c r="N14" s="4"/>
      <c r="O14" s="5"/>
    </row>
    <row r="15" spans="1:15" s="15" customFormat="1" ht="36.75" customHeight="1">
      <c r="A15" s="39" t="s">
        <v>160</v>
      </c>
      <c r="B15" s="94">
        <v>32654772</v>
      </c>
      <c r="C15" s="95">
        <v>279819</v>
      </c>
      <c r="D15" s="95">
        <v>436382</v>
      </c>
      <c r="E15" s="4">
        <v>1772259</v>
      </c>
      <c r="F15" s="95">
        <v>721001</v>
      </c>
      <c r="G15" s="95">
        <v>14136163</v>
      </c>
      <c r="H15" s="309" t="s">
        <v>158</v>
      </c>
      <c r="I15" s="96">
        <v>733262</v>
      </c>
      <c r="J15" s="95">
        <v>929257</v>
      </c>
      <c r="K15" s="96">
        <v>194739</v>
      </c>
      <c r="L15" s="96">
        <v>1872111</v>
      </c>
      <c r="M15" s="95">
        <v>1033345</v>
      </c>
      <c r="N15" s="96">
        <v>2130934</v>
      </c>
      <c r="O15" s="108">
        <v>769131</v>
      </c>
    </row>
    <row r="16" spans="1:15" s="15" customFormat="1" ht="10.5" customHeight="1">
      <c r="A16" s="46"/>
      <c r="B16" s="3"/>
      <c r="C16" s="4"/>
      <c r="D16" s="4"/>
      <c r="E16" s="4"/>
      <c r="F16" s="4"/>
      <c r="G16" s="4"/>
      <c r="H16" s="10"/>
      <c r="I16" s="4"/>
      <c r="J16" s="4"/>
      <c r="K16" s="4"/>
      <c r="L16" s="4"/>
      <c r="M16" s="4"/>
      <c r="N16" s="4"/>
      <c r="O16" s="5"/>
    </row>
    <row r="17" spans="1:15" s="15" customFormat="1" ht="36.75" customHeight="1">
      <c r="A17" s="39" t="s">
        <v>161</v>
      </c>
      <c r="B17" s="94">
        <v>45700287</v>
      </c>
      <c r="C17" s="95">
        <v>585756</v>
      </c>
      <c r="D17" s="95">
        <v>880925</v>
      </c>
      <c r="E17" s="4">
        <v>3124383</v>
      </c>
      <c r="F17" s="95">
        <v>933007</v>
      </c>
      <c r="G17" s="95">
        <v>21044532</v>
      </c>
      <c r="H17" s="309" t="s">
        <v>158</v>
      </c>
      <c r="I17" s="96">
        <v>783484</v>
      </c>
      <c r="J17" s="95">
        <v>1400986</v>
      </c>
      <c r="K17" s="96">
        <v>305898</v>
      </c>
      <c r="L17" s="96">
        <v>1065779</v>
      </c>
      <c r="M17" s="95">
        <v>1356461</v>
      </c>
      <c r="N17" s="96">
        <v>250220</v>
      </c>
      <c r="O17" s="108">
        <v>746530</v>
      </c>
    </row>
    <row r="18" spans="1:15" s="15" customFormat="1" ht="10.5" customHeight="1">
      <c r="A18" s="46"/>
      <c r="B18" s="3"/>
      <c r="C18" s="4"/>
      <c r="D18" s="4"/>
      <c r="E18" s="4"/>
      <c r="F18" s="4"/>
      <c r="G18" s="4"/>
      <c r="H18" s="10"/>
      <c r="I18" s="4"/>
      <c r="J18" s="4"/>
      <c r="K18" s="4"/>
      <c r="L18" s="4"/>
      <c r="M18" s="4"/>
      <c r="N18" s="4"/>
      <c r="O18" s="5"/>
    </row>
    <row r="19" spans="1:15" s="15" customFormat="1" ht="36.75" customHeight="1">
      <c r="A19" s="39" t="s">
        <v>162</v>
      </c>
      <c r="B19" s="94">
        <v>32548705</v>
      </c>
      <c r="C19" s="95">
        <v>434267</v>
      </c>
      <c r="D19" s="95">
        <v>608668</v>
      </c>
      <c r="E19" s="4">
        <v>2056487</v>
      </c>
      <c r="F19" s="95">
        <v>603288</v>
      </c>
      <c r="G19" s="95">
        <v>14301336</v>
      </c>
      <c r="H19" s="309" t="s">
        <v>158</v>
      </c>
      <c r="I19" s="96">
        <v>410636</v>
      </c>
      <c r="J19" s="95">
        <v>601337</v>
      </c>
      <c r="K19" s="96">
        <v>227664</v>
      </c>
      <c r="L19" s="96">
        <v>1183678</v>
      </c>
      <c r="M19" s="95">
        <v>693391</v>
      </c>
      <c r="N19" s="96">
        <v>155484</v>
      </c>
      <c r="O19" s="108">
        <v>828324</v>
      </c>
    </row>
    <row r="20" spans="1:15" s="15" customFormat="1" ht="10.5" customHeight="1">
      <c r="A20" s="46"/>
      <c r="B20" s="3"/>
      <c r="C20" s="4"/>
      <c r="D20" s="4"/>
      <c r="E20" s="4"/>
      <c r="F20" s="4"/>
      <c r="G20" s="4"/>
      <c r="H20" s="10"/>
      <c r="I20" s="4"/>
      <c r="J20" s="4"/>
      <c r="K20" s="4"/>
      <c r="L20" s="4"/>
      <c r="M20" s="4"/>
      <c r="N20" s="4"/>
      <c r="O20" s="5"/>
    </row>
    <row r="21" spans="1:15" s="2" customFormat="1" ht="36.75" customHeight="1">
      <c r="A21" s="39" t="s">
        <v>163</v>
      </c>
      <c r="B21" s="94">
        <v>39029704</v>
      </c>
      <c r="C21" s="95">
        <f>448803863/1000</f>
        <v>448803.863</v>
      </c>
      <c r="D21" s="95">
        <f>764844944/1000</f>
        <v>764844.944</v>
      </c>
      <c r="E21" s="95">
        <f>2583875864/1000</f>
        <v>2583875.864</v>
      </c>
      <c r="F21" s="95">
        <f>806524631/1000</f>
        <v>806524.631</v>
      </c>
      <c r="G21" s="95">
        <f>17913290847/1000</f>
        <v>17913290.847</v>
      </c>
      <c r="H21" s="309" t="s">
        <v>158</v>
      </c>
      <c r="I21" s="96">
        <f>221278709/1000</f>
        <v>221278.709</v>
      </c>
      <c r="J21" s="95">
        <f>1862413040/1000</f>
        <v>1862413.04</v>
      </c>
      <c r="K21" s="96">
        <f>97927312/1000</f>
        <v>97927.312</v>
      </c>
      <c r="L21" s="96">
        <f>2406628989/1000</f>
        <v>2406628.989</v>
      </c>
      <c r="M21" s="95">
        <f>832908083/1000</f>
        <v>832908.083</v>
      </c>
      <c r="N21" s="96">
        <f>159310184/1000</f>
        <v>159310.184</v>
      </c>
      <c r="O21" s="108">
        <f>409663461/1000</f>
        <v>409663.461</v>
      </c>
    </row>
    <row r="22" spans="1:15" s="15" customFormat="1" ht="10.5" customHeight="1">
      <c r="A22" s="46"/>
      <c r="B22" s="3"/>
      <c r="C22" s="4"/>
      <c r="D22" s="4"/>
      <c r="E22" s="4"/>
      <c r="F22" s="4"/>
      <c r="G22" s="4"/>
      <c r="H22" s="10"/>
      <c r="I22" s="4"/>
      <c r="J22" s="4"/>
      <c r="K22" s="4"/>
      <c r="L22" s="4"/>
      <c r="M22" s="4"/>
      <c r="N22" s="4"/>
      <c r="O22" s="5"/>
    </row>
    <row r="23" spans="1:15" s="2" customFormat="1" ht="36.75" customHeight="1">
      <c r="A23" s="39" t="s">
        <v>164</v>
      </c>
      <c r="B23" s="94">
        <v>37132619</v>
      </c>
      <c r="C23" s="95">
        <v>446420.79</v>
      </c>
      <c r="D23" s="95">
        <v>722211.546</v>
      </c>
      <c r="E23" s="95">
        <v>2460862.346</v>
      </c>
      <c r="F23" s="95">
        <v>669620.261</v>
      </c>
      <c r="G23" s="95">
        <v>16664961.008</v>
      </c>
      <c r="H23" s="309" t="s">
        <v>733</v>
      </c>
      <c r="I23" s="96">
        <v>280621.508</v>
      </c>
      <c r="J23" s="95">
        <v>531467.344</v>
      </c>
      <c r="K23" s="96">
        <v>256252.159</v>
      </c>
      <c r="L23" s="96">
        <v>2729000.328</v>
      </c>
      <c r="M23" s="95">
        <v>851873.052</v>
      </c>
      <c r="N23" s="96">
        <v>166132.856</v>
      </c>
      <c r="O23" s="108">
        <v>315080.951</v>
      </c>
    </row>
    <row r="24" spans="1:15" s="15" customFormat="1" ht="10.5" customHeight="1">
      <c r="A24" s="46"/>
      <c r="B24" s="3"/>
      <c r="C24" s="4"/>
      <c r="D24" s="4"/>
      <c r="E24" s="4"/>
      <c r="F24" s="4"/>
      <c r="G24" s="4"/>
      <c r="H24" s="10"/>
      <c r="I24" s="4"/>
      <c r="J24" s="4"/>
      <c r="K24" s="4"/>
      <c r="L24" s="4"/>
      <c r="M24" s="4"/>
      <c r="N24" s="4"/>
      <c r="O24" s="5"/>
    </row>
    <row r="25" spans="1:15" s="15" customFormat="1" ht="36.75" customHeight="1" thickBot="1">
      <c r="A25" s="50" t="s">
        <v>165</v>
      </c>
      <c r="B25" s="99">
        <v>43300089</v>
      </c>
      <c r="C25" s="100">
        <v>390033.429</v>
      </c>
      <c r="D25" s="100">
        <v>720103.805</v>
      </c>
      <c r="E25" s="100">
        <v>2786604.059</v>
      </c>
      <c r="F25" s="100">
        <v>508124.069</v>
      </c>
      <c r="G25" s="100">
        <v>19016514.205</v>
      </c>
      <c r="H25" s="314" t="s">
        <v>158</v>
      </c>
      <c r="I25" s="109">
        <v>454680.98</v>
      </c>
      <c r="J25" s="100">
        <v>1416998.926</v>
      </c>
      <c r="K25" s="109">
        <v>54841.052</v>
      </c>
      <c r="L25" s="109">
        <v>3817264.735</v>
      </c>
      <c r="M25" s="100">
        <v>936025.406</v>
      </c>
      <c r="N25" s="109">
        <v>162997.88</v>
      </c>
      <c r="O25" s="110">
        <v>326044.806</v>
      </c>
    </row>
    <row r="26" spans="1:8" s="15" customFormat="1" ht="16.5" customHeight="1">
      <c r="A26" s="23" t="s">
        <v>739</v>
      </c>
      <c r="H26" s="27" t="s">
        <v>199</v>
      </c>
    </row>
  </sheetData>
  <mergeCells count="4">
    <mergeCell ref="H2:O2"/>
    <mergeCell ref="H3:O3"/>
    <mergeCell ref="A3:G3"/>
    <mergeCell ref="A2:G2"/>
  </mergeCells>
  <printOptions/>
  <pageMargins left="1.1811023622047245" right="1.1811023622047245" top="1.5748031496062993" bottom="1.5748031496062993" header="0.5118110236220472" footer="0.9055118110236221"/>
  <pageSetup firstPageNumber="29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8.xml><?xml version="1.0" encoding="utf-8"?>
<worksheet xmlns="http://schemas.openxmlformats.org/spreadsheetml/2006/main" xmlns:r="http://schemas.openxmlformats.org/officeDocument/2006/relationships">
  <sheetPr>
    <tabColor indexed="29"/>
  </sheetPr>
  <dimension ref="A1:O26"/>
  <sheetViews>
    <sheetView showGridLines="0" zoomScale="120" zoomScaleNormal="120" workbookViewId="0" topLeftCell="A1">
      <selection activeCell="A1" sqref="A1"/>
    </sheetView>
  </sheetViews>
  <sheetFormatPr defaultColWidth="9.00390625" defaultRowHeight="16.5"/>
  <cols>
    <col min="1" max="1" width="16.625" style="14" customWidth="1"/>
    <col min="2" max="7" width="9.875" style="14" customWidth="1"/>
    <col min="8" max="9" width="10.625" style="14" customWidth="1"/>
    <col min="10" max="10" width="9.625" style="14" customWidth="1"/>
    <col min="11" max="11" width="12.625" style="14" customWidth="1"/>
    <col min="12" max="12" width="13.125" style="14" customWidth="1"/>
    <col min="13" max="14" width="9.625" style="14" customWidth="1"/>
    <col min="15" max="16384" width="9.00390625" style="14" customWidth="1"/>
  </cols>
  <sheetData>
    <row r="1" spans="1:14" s="15" customFormat="1" ht="19.5" customHeight="1">
      <c r="A1" s="12" t="s">
        <v>166</v>
      </c>
      <c r="B1" s="27"/>
      <c r="N1" s="53" t="s">
        <v>167</v>
      </c>
    </row>
    <row r="2" spans="1:15" s="17" customFormat="1" ht="33.75" customHeight="1">
      <c r="A2" s="442" t="s">
        <v>674</v>
      </c>
      <c r="B2" s="441"/>
      <c r="C2" s="441"/>
      <c r="D2" s="441"/>
      <c r="E2" s="441"/>
      <c r="F2" s="441"/>
      <c r="G2" s="441"/>
      <c r="H2" s="449" t="s">
        <v>663</v>
      </c>
      <c r="I2" s="449"/>
      <c r="J2" s="449"/>
      <c r="K2" s="449"/>
      <c r="L2" s="449"/>
      <c r="M2" s="449"/>
      <c r="N2" s="449"/>
      <c r="O2" s="47"/>
    </row>
    <row r="3" spans="1:15" s="17" customFormat="1" ht="15" customHeight="1">
      <c r="A3" s="442" t="s">
        <v>664</v>
      </c>
      <c r="B3" s="441"/>
      <c r="C3" s="441"/>
      <c r="D3" s="441"/>
      <c r="E3" s="441"/>
      <c r="F3" s="441"/>
      <c r="G3" s="441"/>
      <c r="H3" s="441" t="s">
        <v>665</v>
      </c>
      <c r="I3" s="441"/>
      <c r="J3" s="441"/>
      <c r="K3" s="441"/>
      <c r="L3" s="441"/>
      <c r="M3" s="441"/>
      <c r="N3" s="441"/>
      <c r="O3" s="47"/>
    </row>
    <row r="4" spans="1:14" s="15" customFormat="1" ht="15" customHeight="1" thickBot="1">
      <c r="A4" s="2"/>
      <c r="B4" s="16"/>
      <c r="C4" s="16"/>
      <c r="D4" s="16"/>
      <c r="E4" s="16"/>
      <c r="F4" s="16"/>
      <c r="G4" s="24" t="s">
        <v>727</v>
      </c>
      <c r="H4" s="16"/>
      <c r="I4" s="16"/>
      <c r="J4" s="45"/>
      <c r="K4" s="45"/>
      <c r="L4" s="25"/>
      <c r="M4" s="25"/>
      <c r="N4" s="26" t="s">
        <v>200</v>
      </c>
    </row>
    <row r="5" spans="1:14" s="15" customFormat="1" ht="27.75" customHeight="1">
      <c r="A5" s="322" t="s">
        <v>728</v>
      </c>
      <c r="B5" s="327" t="s">
        <v>474</v>
      </c>
      <c r="C5" s="304" t="s">
        <v>475</v>
      </c>
      <c r="D5" s="304" t="s">
        <v>476</v>
      </c>
      <c r="E5" s="304" t="s">
        <v>477</v>
      </c>
      <c r="F5" s="304" t="s">
        <v>478</v>
      </c>
      <c r="G5" s="304" t="s">
        <v>479</v>
      </c>
      <c r="H5" s="305" t="s">
        <v>480</v>
      </c>
      <c r="I5" s="304" t="s">
        <v>481</v>
      </c>
      <c r="J5" s="304" t="s">
        <v>482</v>
      </c>
      <c r="K5" s="304" t="s">
        <v>483</v>
      </c>
      <c r="L5" s="304" t="s">
        <v>484</v>
      </c>
      <c r="M5" s="304" t="s">
        <v>485</v>
      </c>
      <c r="N5" s="326" t="s">
        <v>486</v>
      </c>
    </row>
    <row r="6" spans="1:14" s="15" customFormat="1" ht="45" customHeight="1" thickBot="1">
      <c r="A6" s="28" t="s">
        <v>729</v>
      </c>
      <c r="B6" s="40" t="s">
        <v>487</v>
      </c>
      <c r="C6" s="41" t="s">
        <v>488</v>
      </c>
      <c r="D6" s="41" t="s">
        <v>489</v>
      </c>
      <c r="E6" s="41" t="s">
        <v>490</v>
      </c>
      <c r="F6" s="41" t="s">
        <v>491</v>
      </c>
      <c r="G6" s="41" t="s">
        <v>492</v>
      </c>
      <c r="H6" s="13" t="s">
        <v>493</v>
      </c>
      <c r="I6" s="41" t="s">
        <v>494</v>
      </c>
      <c r="J6" s="41" t="s">
        <v>495</v>
      </c>
      <c r="K6" s="41" t="s">
        <v>496</v>
      </c>
      <c r="L6" s="41" t="s">
        <v>497</v>
      </c>
      <c r="M6" s="41" t="s">
        <v>498</v>
      </c>
      <c r="N6" s="42" t="s">
        <v>499</v>
      </c>
    </row>
    <row r="7" spans="1:14" s="6" customFormat="1" ht="36.75" customHeight="1">
      <c r="A7" s="306" t="s">
        <v>735</v>
      </c>
      <c r="B7" s="3">
        <v>952139</v>
      </c>
      <c r="C7" s="308" t="s">
        <v>760</v>
      </c>
      <c r="D7" s="4">
        <v>279166</v>
      </c>
      <c r="E7" s="4">
        <v>10582</v>
      </c>
      <c r="F7" s="4">
        <v>636984</v>
      </c>
      <c r="G7" s="308" t="s">
        <v>760</v>
      </c>
      <c r="H7" s="10">
        <v>2394790</v>
      </c>
      <c r="I7" s="55">
        <v>56617</v>
      </c>
      <c r="J7" s="308" t="s">
        <v>760</v>
      </c>
      <c r="K7" s="55">
        <v>148814</v>
      </c>
      <c r="L7" s="4">
        <v>874022</v>
      </c>
      <c r="M7" s="308" t="s">
        <v>760</v>
      </c>
      <c r="N7" s="312" t="s">
        <v>760</v>
      </c>
    </row>
    <row r="8" spans="1:14" s="15" customFormat="1" ht="12" customHeight="1">
      <c r="A8" s="46"/>
      <c r="B8" s="3"/>
      <c r="C8" s="4"/>
      <c r="D8" s="4"/>
      <c r="E8" s="4"/>
      <c r="F8" s="4"/>
      <c r="G8" s="4"/>
      <c r="H8" s="10"/>
      <c r="I8" s="4"/>
      <c r="J8" s="4"/>
      <c r="K8" s="4"/>
      <c r="L8" s="4"/>
      <c r="M8" s="4"/>
      <c r="N8" s="5"/>
    </row>
    <row r="9" spans="1:14" s="6" customFormat="1" ht="36.75" customHeight="1">
      <c r="A9" s="39" t="s">
        <v>156</v>
      </c>
      <c r="B9" s="3">
        <v>1149845</v>
      </c>
      <c r="C9" s="308" t="s">
        <v>673</v>
      </c>
      <c r="D9" s="4">
        <v>255624</v>
      </c>
      <c r="E9" s="4">
        <v>6479</v>
      </c>
      <c r="F9" s="4">
        <v>638274</v>
      </c>
      <c r="G9" s="308" t="s">
        <v>673</v>
      </c>
      <c r="H9" s="10">
        <v>2595987</v>
      </c>
      <c r="I9" s="55">
        <v>41265</v>
      </c>
      <c r="J9" s="308" t="s">
        <v>673</v>
      </c>
      <c r="K9" s="55">
        <v>112729</v>
      </c>
      <c r="L9" s="4">
        <v>908482</v>
      </c>
      <c r="M9" s="308" t="s">
        <v>673</v>
      </c>
      <c r="N9" s="312" t="s">
        <v>673</v>
      </c>
    </row>
    <row r="10" spans="1:14" s="15" customFormat="1" ht="12" customHeight="1">
      <c r="A10" s="46"/>
      <c r="B10" s="3"/>
      <c r="C10" s="4"/>
      <c r="D10" s="4"/>
      <c r="E10" s="4"/>
      <c r="F10" s="4"/>
      <c r="G10" s="4"/>
      <c r="H10" s="10"/>
      <c r="I10" s="4"/>
      <c r="J10" s="4"/>
      <c r="K10" s="4"/>
      <c r="L10" s="4"/>
      <c r="M10" s="4"/>
      <c r="N10" s="5"/>
    </row>
    <row r="11" spans="1:14" s="6" customFormat="1" ht="36.75" customHeight="1">
      <c r="A11" s="39" t="s">
        <v>157</v>
      </c>
      <c r="B11" s="3">
        <v>1449632</v>
      </c>
      <c r="C11" s="308" t="s">
        <v>158</v>
      </c>
      <c r="D11" s="4">
        <v>254773</v>
      </c>
      <c r="E11" s="4">
        <v>4278</v>
      </c>
      <c r="F11" s="4">
        <v>2230508</v>
      </c>
      <c r="G11" s="308" t="s">
        <v>158</v>
      </c>
      <c r="H11" s="10">
        <v>2828766</v>
      </c>
      <c r="I11" s="55">
        <v>43369</v>
      </c>
      <c r="J11" s="308" t="s">
        <v>158</v>
      </c>
      <c r="K11" s="308" t="s">
        <v>158</v>
      </c>
      <c r="L11" s="4">
        <v>1163901</v>
      </c>
      <c r="M11" s="308" t="s">
        <v>158</v>
      </c>
      <c r="N11" s="312" t="s">
        <v>158</v>
      </c>
    </row>
    <row r="12" spans="1:14" s="15" customFormat="1" ht="12" customHeight="1">
      <c r="A12" s="46"/>
      <c r="B12" s="3"/>
      <c r="C12" s="4"/>
      <c r="D12" s="4"/>
      <c r="E12" s="4"/>
      <c r="F12" s="4"/>
      <c r="G12" s="4"/>
      <c r="H12" s="10"/>
      <c r="I12" s="4"/>
      <c r="J12" s="4"/>
      <c r="K12" s="4"/>
      <c r="L12" s="4"/>
      <c r="M12" s="4"/>
      <c r="N12" s="5"/>
    </row>
    <row r="13" spans="1:14" s="6" customFormat="1" ht="36.75" customHeight="1">
      <c r="A13" s="39" t="s">
        <v>159</v>
      </c>
      <c r="B13" s="3">
        <v>1864727</v>
      </c>
      <c r="C13" s="308" t="s">
        <v>158</v>
      </c>
      <c r="D13" s="4">
        <v>263763</v>
      </c>
      <c r="E13" s="4">
        <v>12762</v>
      </c>
      <c r="F13" s="4">
        <v>1029371</v>
      </c>
      <c r="G13" s="308" t="s">
        <v>158</v>
      </c>
      <c r="H13" s="10">
        <v>3328665</v>
      </c>
      <c r="I13" s="55">
        <v>31898</v>
      </c>
      <c r="J13" s="308" t="s">
        <v>158</v>
      </c>
      <c r="K13" s="308" t="s">
        <v>158</v>
      </c>
      <c r="L13" s="4">
        <v>1127166</v>
      </c>
      <c r="M13" s="308" t="s">
        <v>158</v>
      </c>
      <c r="N13" s="312" t="s">
        <v>158</v>
      </c>
    </row>
    <row r="14" spans="1:14" s="15" customFormat="1" ht="12" customHeight="1">
      <c r="A14" s="46"/>
      <c r="B14" s="3"/>
      <c r="C14" s="4"/>
      <c r="D14" s="4"/>
      <c r="E14" s="4"/>
      <c r="F14" s="4"/>
      <c r="G14" s="4"/>
      <c r="H14" s="10"/>
      <c r="I14" s="4"/>
      <c r="J14" s="4"/>
      <c r="K14" s="4"/>
      <c r="L14" s="4"/>
      <c r="M14" s="4"/>
      <c r="N14" s="5"/>
    </row>
    <row r="15" spans="1:14" s="6" customFormat="1" ht="36.75" customHeight="1">
      <c r="A15" s="39" t="s">
        <v>160</v>
      </c>
      <c r="B15" s="3">
        <v>1981707</v>
      </c>
      <c r="C15" s="308" t="s">
        <v>158</v>
      </c>
      <c r="D15" s="4">
        <v>323258</v>
      </c>
      <c r="E15" s="4">
        <v>38699</v>
      </c>
      <c r="F15" s="4">
        <v>878593</v>
      </c>
      <c r="G15" s="308" t="s">
        <v>158</v>
      </c>
      <c r="H15" s="10">
        <v>3248066</v>
      </c>
      <c r="I15" s="55">
        <v>37528</v>
      </c>
      <c r="J15" s="308" t="s">
        <v>158</v>
      </c>
      <c r="K15" s="308" t="s">
        <v>158</v>
      </c>
      <c r="L15" s="4">
        <v>1138117</v>
      </c>
      <c r="M15" s="308" t="s">
        <v>158</v>
      </c>
      <c r="N15" s="5">
        <v>401</v>
      </c>
    </row>
    <row r="16" spans="1:14" s="15" customFormat="1" ht="12" customHeight="1">
      <c r="A16" s="46"/>
      <c r="B16" s="3"/>
      <c r="C16" s="4"/>
      <c r="D16" s="4"/>
      <c r="E16" s="4"/>
      <c r="F16" s="4"/>
      <c r="G16" s="4"/>
      <c r="H16" s="10"/>
      <c r="I16" s="4"/>
      <c r="J16" s="4"/>
      <c r="K16" s="4"/>
      <c r="L16" s="4"/>
      <c r="M16" s="4"/>
      <c r="N16" s="5"/>
    </row>
    <row r="17" spans="1:14" s="6" customFormat="1" ht="36.75" customHeight="1">
      <c r="A17" s="39" t="s">
        <v>161</v>
      </c>
      <c r="B17" s="3">
        <v>3212553</v>
      </c>
      <c r="C17" s="308" t="s">
        <v>158</v>
      </c>
      <c r="D17" s="4">
        <v>438349</v>
      </c>
      <c r="E17" s="4">
        <v>216908</v>
      </c>
      <c r="F17" s="4">
        <v>848269</v>
      </c>
      <c r="G17" s="4">
        <v>3577178</v>
      </c>
      <c r="H17" s="10">
        <v>4889664</v>
      </c>
      <c r="I17" s="55">
        <v>39405</v>
      </c>
      <c r="J17" s="308" t="s">
        <v>158</v>
      </c>
      <c r="K17" s="308" t="s">
        <v>158</v>
      </c>
      <c r="L17" s="308" t="s">
        <v>158</v>
      </c>
      <c r="M17" s="308" t="s">
        <v>158</v>
      </c>
      <c r="N17" s="312" t="s">
        <v>158</v>
      </c>
    </row>
    <row r="18" spans="1:14" s="15" customFormat="1" ht="12" customHeight="1">
      <c r="A18" s="46"/>
      <c r="B18" s="3"/>
      <c r="C18" s="4"/>
      <c r="D18" s="4"/>
      <c r="E18" s="4"/>
      <c r="F18" s="4"/>
      <c r="G18" s="4"/>
      <c r="H18" s="10"/>
      <c r="I18" s="4"/>
      <c r="J18" s="4"/>
      <c r="K18" s="4"/>
      <c r="L18" s="4"/>
      <c r="M18" s="4"/>
      <c r="N18" s="5"/>
    </row>
    <row r="19" spans="1:14" s="6" customFormat="1" ht="36.75" customHeight="1">
      <c r="A19" s="39" t="s">
        <v>162</v>
      </c>
      <c r="B19" s="3">
        <v>2807816</v>
      </c>
      <c r="C19" s="308" t="s">
        <v>158</v>
      </c>
      <c r="D19" s="4">
        <v>298120</v>
      </c>
      <c r="E19" s="4">
        <v>21444</v>
      </c>
      <c r="F19" s="4">
        <v>599423</v>
      </c>
      <c r="G19" s="4">
        <v>2570199</v>
      </c>
      <c r="H19" s="10">
        <v>3906082</v>
      </c>
      <c r="I19" s="55">
        <v>238415</v>
      </c>
      <c r="J19" s="308" t="s">
        <v>158</v>
      </c>
      <c r="K19" s="308" t="s">
        <v>158</v>
      </c>
      <c r="L19" s="308" t="s">
        <v>158</v>
      </c>
      <c r="M19" s="308" t="s">
        <v>158</v>
      </c>
      <c r="N19" s="5">
        <v>2646</v>
      </c>
    </row>
    <row r="20" spans="1:14" s="15" customFormat="1" ht="12" customHeight="1">
      <c r="A20" s="46"/>
      <c r="B20" s="3"/>
      <c r="C20" s="4"/>
      <c r="D20" s="4"/>
      <c r="E20" s="4"/>
      <c r="F20" s="4"/>
      <c r="G20" s="4"/>
      <c r="H20" s="10"/>
      <c r="I20" s="4"/>
      <c r="J20" s="4"/>
      <c r="K20" s="4"/>
      <c r="L20" s="4"/>
      <c r="M20" s="4"/>
      <c r="N20" s="5"/>
    </row>
    <row r="21" spans="1:14" s="6" customFormat="1" ht="36.75" customHeight="1">
      <c r="A21" s="39" t="s">
        <v>163</v>
      </c>
      <c r="B21" s="3">
        <f>2122498682/1000</f>
        <v>2122498.682</v>
      </c>
      <c r="C21" s="308" t="s">
        <v>158</v>
      </c>
      <c r="D21" s="4">
        <f>398700952/1000</f>
        <v>398700.952</v>
      </c>
      <c r="E21" s="4">
        <f>19233878/1000</f>
        <v>19233.878</v>
      </c>
      <c r="F21" s="4">
        <f>1357083792/1000</f>
        <v>1357083.792</v>
      </c>
      <c r="G21" s="4">
        <f>2315739472/1000</f>
        <v>2315739.472</v>
      </c>
      <c r="H21" s="10">
        <f>3920152439/1000</f>
        <v>3920152.439</v>
      </c>
      <c r="I21" s="55">
        <f>388344679/1000</f>
        <v>388344.679</v>
      </c>
      <c r="J21" s="308" t="s">
        <v>158</v>
      </c>
      <c r="K21" s="308" t="s">
        <v>158</v>
      </c>
      <c r="L21" s="308" t="s">
        <v>158</v>
      </c>
      <c r="M21" s="308" t="s">
        <v>158</v>
      </c>
      <c r="N21" s="5">
        <f>480642/1000</f>
        <v>480.642</v>
      </c>
    </row>
    <row r="22" spans="1:14" s="15" customFormat="1" ht="12" customHeight="1">
      <c r="A22" s="46"/>
      <c r="B22" s="3"/>
      <c r="C22" s="4"/>
      <c r="D22" s="4"/>
      <c r="E22" s="4"/>
      <c r="F22" s="4"/>
      <c r="G22" s="4"/>
      <c r="H22" s="10"/>
      <c r="I22" s="4"/>
      <c r="J22" s="4"/>
      <c r="K22" s="4"/>
      <c r="L22" s="4"/>
      <c r="M22" s="4"/>
      <c r="N22" s="5"/>
    </row>
    <row r="23" spans="1:14" s="6" customFormat="1" ht="36.75" customHeight="1">
      <c r="A23" s="39" t="s">
        <v>164</v>
      </c>
      <c r="B23" s="3">
        <v>1858453.306</v>
      </c>
      <c r="C23" s="308" t="s">
        <v>733</v>
      </c>
      <c r="D23" s="4">
        <v>346058.772</v>
      </c>
      <c r="E23" s="4">
        <v>19257.694</v>
      </c>
      <c r="F23" s="4">
        <v>1162911.34</v>
      </c>
      <c r="G23" s="4">
        <v>2841830.502</v>
      </c>
      <c r="H23" s="10">
        <v>4155335.151</v>
      </c>
      <c r="I23" s="55">
        <v>324236.334</v>
      </c>
      <c r="J23" s="308" t="s">
        <v>733</v>
      </c>
      <c r="K23" s="308" t="s">
        <v>733</v>
      </c>
      <c r="L23" s="308" t="s">
        <v>733</v>
      </c>
      <c r="M23" s="308" t="s">
        <v>733</v>
      </c>
      <c r="N23" s="5">
        <v>330031.474</v>
      </c>
    </row>
    <row r="24" spans="1:14" s="15" customFormat="1" ht="12" customHeight="1">
      <c r="A24" s="46"/>
      <c r="B24" s="3"/>
      <c r="C24" s="4"/>
      <c r="D24" s="4"/>
      <c r="E24" s="4"/>
      <c r="F24" s="4"/>
      <c r="G24" s="4"/>
      <c r="H24" s="10"/>
      <c r="I24" s="4"/>
      <c r="J24" s="4"/>
      <c r="K24" s="4"/>
      <c r="L24" s="4"/>
      <c r="M24" s="4"/>
      <c r="N24" s="5"/>
    </row>
    <row r="25" spans="1:14" s="6" customFormat="1" ht="36.75" customHeight="1" thickBot="1">
      <c r="A25" s="50" t="s">
        <v>165</v>
      </c>
      <c r="B25" s="8">
        <v>2290568.614</v>
      </c>
      <c r="C25" s="314" t="s">
        <v>158</v>
      </c>
      <c r="D25" s="9">
        <v>467343.697</v>
      </c>
      <c r="E25" s="9">
        <v>64296.704</v>
      </c>
      <c r="F25" s="9">
        <v>1507891.887</v>
      </c>
      <c r="G25" s="9">
        <v>3459877.005</v>
      </c>
      <c r="H25" s="11">
        <v>4268859.516</v>
      </c>
      <c r="I25" s="111">
        <v>290550.959</v>
      </c>
      <c r="J25" s="314" t="s">
        <v>158</v>
      </c>
      <c r="K25" s="314" t="s">
        <v>158</v>
      </c>
      <c r="L25" s="314" t="s">
        <v>158</v>
      </c>
      <c r="M25" s="314" t="s">
        <v>158</v>
      </c>
      <c r="N25" s="29">
        <v>360466.819</v>
      </c>
    </row>
    <row r="26" spans="2:14" s="103" customFormat="1" ht="14.25" customHeight="1">
      <c r="B26" s="102"/>
      <c r="M26" s="104"/>
      <c r="N26" s="104"/>
    </row>
  </sheetData>
  <mergeCells count="4">
    <mergeCell ref="H2:N2"/>
    <mergeCell ref="H3:N3"/>
    <mergeCell ref="A3:G3"/>
    <mergeCell ref="A2:G2"/>
  </mergeCells>
  <printOptions/>
  <pageMargins left="1.141732283464567" right="1.141732283464567" top="1.5748031496062993" bottom="1.5748031496062993" header="0.5118110236220472" footer="0.9055118110236221"/>
  <pageSetup firstPageNumber="292" useFirstPageNumber="1" horizontalDpi="96" verticalDpi="96" orientation="portrait" paperSize="9" r:id="rId1"/>
  <headerFooter alignWithMargins="0">
    <oddFooter>&amp;C&amp;"超研澤中圓,Regula"&amp;11‧&amp;"Times New Roman,標準"&amp;P&amp;"超研澤中圓,Regula"‧</oddFooter>
  </headerFooter>
</worksheet>
</file>

<file path=xl/worksheets/sheet9.xml><?xml version="1.0" encoding="utf-8"?>
<worksheet xmlns="http://schemas.openxmlformats.org/spreadsheetml/2006/main" xmlns:r="http://schemas.openxmlformats.org/officeDocument/2006/relationships">
  <sheetPr>
    <tabColor indexed="29"/>
  </sheetPr>
  <dimension ref="A1:L26"/>
  <sheetViews>
    <sheetView showGridLines="0" zoomScale="115" zoomScaleNormal="115" workbookViewId="0" topLeftCell="A1">
      <selection activeCell="A1" sqref="A1"/>
    </sheetView>
  </sheetViews>
  <sheetFormatPr defaultColWidth="9.00390625" defaultRowHeight="16.5"/>
  <cols>
    <col min="1" max="1" width="16.625" style="14" customWidth="1"/>
    <col min="2" max="6" width="11.875" style="14" customWidth="1"/>
    <col min="7" max="12" width="12.625" style="14" customWidth="1"/>
    <col min="13" max="16384" width="9.00390625" style="14" customWidth="1"/>
  </cols>
  <sheetData>
    <row r="1" spans="1:12" s="15" customFormat="1" ht="19.5" customHeight="1">
      <c r="A1" s="12" t="s">
        <v>796</v>
      </c>
      <c r="B1" s="27"/>
      <c r="C1" s="27"/>
      <c r="D1" s="27"/>
      <c r="E1" s="27"/>
      <c r="F1" s="27"/>
      <c r="G1" s="27"/>
      <c r="H1" s="27"/>
      <c r="I1" s="27"/>
      <c r="L1" s="53" t="s">
        <v>797</v>
      </c>
    </row>
    <row r="2" spans="1:12" s="17" customFormat="1" ht="30" customHeight="1">
      <c r="A2" s="442" t="s">
        <v>220</v>
      </c>
      <c r="B2" s="441"/>
      <c r="C2" s="441"/>
      <c r="D2" s="441"/>
      <c r="E2" s="441"/>
      <c r="F2" s="441"/>
      <c r="G2" s="441" t="s">
        <v>221</v>
      </c>
      <c r="H2" s="441"/>
      <c r="I2" s="441"/>
      <c r="J2" s="441"/>
      <c r="K2" s="441"/>
      <c r="L2" s="441"/>
    </row>
    <row r="3" spans="1:12" s="15" customFormat="1" ht="15" customHeight="1" thickBot="1">
      <c r="A3" s="7"/>
      <c r="B3" s="16"/>
      <c r="C3" s="16"/>
      <c r="D3" s="16"/>
      <c r="E3" s="16"/>
      <c r="F3" s="32" t="s">
        <v>222</v>
      </c>
      <c r="G3" s="16"/>
      <c r="H3" s="16"/>
      <c r="I3" s="16"/>
      <c r="J3" s="16"/>
      <c r="K3" s="16"/>
      <c r="L3" s="33" t="s">
        <v>223</v>
      </c>
    </row>
    <row r="4" spans="1:12" s="38" customFormat="1" ht="24.75" customHeight="1">
      <c r="A4" s="429" t="s">
        <v>728</v>
      </c>
      <c r="B4" s="431" t="s">
        <v>201</v>
      </c>
      <c r="C4" s="432"/>
      <c r="D4" s="418"/>
      <c r="E4" s="419" t="s">
        <v>202</v>
      </c>
      <c r="F4" s="432"/>
      <c r="G4" s="333" t="s">
        <v>203</v>
      </c>
      <c r="H4" s="428" t="s">
        <v>212</v>
      </c>
      <c r="I4" s="428" t="s">
        <v>213</v>
      </c>
      <c r="J4" s="428" t="s">
        <v>214</v>
      </c>
      <c r="K4" s="419" t="s">
        <v>204</v>
      </c>
      <c r="L4" s="420"/>
    </row>
    <row r="5" spans="1:12" s="38" customFormat="1" ht="34.5" customHeight="1">
      <c r="A5" s="430"/>
      <c r="B5" s="458" t="s">
        <v>205</v>
      </c>
      <c r="C5" s="334" t="s">
        <v>206</v>
      </c>
      <c r="D5" s="334" t="s">
        <v>207</v>
      </c>
      <c r="E5" s="460" t="s">
        <v>208</v>
      </c>
      <c r="F5" s="243" t="s">
        <v>209</v>
      </c>
      <c r="G5" s="334" t="s">
        <v>210</v>
      </c>
      <c r="H5" s="460"/>
      <c r="I5" s="460"/>
      <c r="J5" s="460"/>
      <c r="K5" s="460" t="s">
        <v>211</v>
      </c>
      <c r="L5" s="245" t="s">
        <v>215</v>
      </c>
    </row>
    <row r="6" spans="1:12" s="38" customFormat="1" ht="34.5" customHeight="1" thickBot="1">
      <c r="A6" s="28" t="s">
        <v>676</v>
      </c>
      <c r="B6" s="459"/>
      <c r="C6" s="13" t="s">
        <v>677</v>
      </c>
      <c r="D6" s="13" t="s">
        <v>678</v>
      </c>
      <c r="E6" s="427"/>
      <c r="F6" s="41" t="s">
        <v>679</v>
      </c>
      <c r="G6" s="13" t="s">
        <v>680</v>
      </c>
      <c r="H6" s="13" t="s">
        <v>681</v>
      </c>
      <c r="I6" s="13" t="s">
        <v>682</v>
      </c>
      <c r="J6" s="13" t="s">
        <v>683</v>
      </c>
      <c r="K6" s="427"/>
      <c r="L6" s="42" t="s">
        <v>684</v>
      </c>
    </row>
    <row r="7" spans="1:12" s="112" customFormat="1" ht="33" customHeight="1">
      <c r="A7" s="306" t="s">
        <v>155</v>
      </c>
      <c r="B7" s="114">
        <f>C7+D7</f>
        <v>1932846.63805</v>
      </c>
      <c r="C7" s="115">
        <f>1743772430.05/1000</f>
        <v>1743772.4300499998</v>
      </c>
      <c r="D7" s="115">
        <f>189074208/1000</f>
        <v>189074.208</v>
      </c>
      <c r="E7" s="307" t="s">
        <v>673</v>
      </c>
      <c r="F7" s="307" t="s">
        <v>673</v>
      </c>
      <c r="G7" s="309" t="s">
        <v>673</v>
      </c>
      <c r="H7" s="116">
        <f>(27407662211.05-7544924702-0-0)/25663889781*100</f>
        <v>77.395662460159</v>
      </c>
      <c r="I7" s="116">
        <f>16463788135/25663889781*100</f>
        <v>64.15156967822078</v>
      </c>
      <c r="J7" s="116">
        <f>7432880073/25663889781*100</f>
        <v>28.962406464599365</v>
      </c>
      <c r="K7" s="117">
        <f>470482738/1000</f>
        <v>470482.738</v>
      </c>
      <c r="L7" s="118">
        <f>K7*1000/25663889781*100</f>
        <v>1.8332479683119474</v>
      </c>
    </row>
    <row r="8" spans="1:12" s="112" customFormat="1" ht="33" customHeight="1">
      <c r="A8" s="39" t="s">
        <v>156</v>
      </c>
      <c r="B8" s="114">
        <f>D8</f>
        <v>204427.018</v>
      </c>
      <c r="C8" s="307" t="s">
        <v>673</v>
      </c>
      <c r="D8" s="115">
        <f>204427018/1000</f>
        <v>204427.018</v>
      </c>
      <c r="E8" s="115">
        <f aca="true" t="shared" si="0" ref="E8:E15">F8+G8</f>
        <v>4718659.3937</v>
      </c>
      <c r="F8" s="115">
        <f>500000000/1000</f>
        <v>500000</v>
      </c>
      <c r="G8" s="128">
        <f>4218659393.7/1000</f>
        <v>4218659.3937</v>
      </c>
      <c r="H8" s="116">
        <f>(27163376114-6667351658-500000000-4218659393.7)/27163376114*100</f>
        <v>58.083225723065944</v>
      </c>
      <c r="I8" s="116">
        <f>12926846863/27163376114*100</f>
        <v>47.58924961591025</v>
      </c>
      <c r="J8" s="116">
        <f>6492859265/27163376114*100</f>
        <v>23.90299069508367</v>
      </c>
      <c r="K8" s="117">
        <f>266055720/1000</f>
        <v>266055.72</v>
      </c>
      <c r="L8" s="118">
        <f>K8*1000/27163376114*100</f>
        <v>0.979464845913888</v>
      </c>
    </row>
    <row r="9" spans="1:12" s="112" customFormat="1" ht="33" customHeight="1">
      <c r="A9" s="335" t="s">
        <v>216</v>
      </c>
      <c r="B9" s="114">
        <f>D9</f>
        <v>266436.546</v>
      </c>
      <c r="C9" s="307" t="s">
        <v>158</v>
      </c>
      <c r="D9" s="115">
        <f>266436546/1000</f>
        <v>266436.546</v>
      </c>
      <c r="E9" s="115">
        <f t="shared" si="0"/>
        <v>4373347.80528</v>
      </c>
      <c r="F9" s="115">
        <f>500000000/1000</f>
        <v>500000</v>
      </c>
      <c r="G9" s="128">
        <f>3873347805.28/1000</f>
        <v>3873347.8052800004</v>
      </c>
      <c r="H9" s="116">
        <f>(32275169641-8678669001-500000000-3873347805.28)/32275169641*100</f>
        <v>59.56019146774777</v>
      </c>
      <c r="I9" s="116">
        <f>16119568431/32275169641*100</f>
        <v>49.944178792240606</v>
      </c>
      <c r="J9" s="116">
        <f>8623122026/32275169641*100</f>
        <v>26.71751108333702</v>
      </c>
      <c r="K9" s="117">
        <f>819619174/1000</f>
        <v>819619.174</v>
      </c>
      <c r="L9" s="118">
        <f>819619174/32275169641*100</f>
        <v>2.5394728613875857</v>
      </c>
    </row>
    <row r="10" spans="1:12" s="112" customFormat="1" ht="12.75" customHeight="1">
      <c r="A10" s="338"/>
      <c r="B10" s="114"/>
      <c r="C10" s="115"/>
      <c r="D10" s="115"/>
      <c r="E10" s="115"/>
      <c r="F10" s="115"/>
      <c r="G10" s="128"/>
      <c r="H10" s="116"/>
      <c r="I10" s="116"/>
      <c r="J10" s="116"/>
      <c r="K10" s="117"/>
      <c r="L10" s="118"/>
    </row>
    <row r="11" spans="1:12" s="112" customFormat="1" ht="33" customHeight="1">
      <c r="A11" s="335" t="s">
        <v>685</v>
      </c>
      <c r="B11" s="114">
        <f>D11</f>
        <v>339619.174</v>
      </c>
      <c r="C11" s="307" t="s">
        <v>673</v>
      </c>
      <c r="D11" s="115">
        <f>339619174/1000</f>
        <v>339619.174</v>
      </c>
      <c r="E11" s="115">
        <f t="shared" si="0"/>
        <v>3013616.1414</v>
      </c>
      <c r="F11" s="115">
        <f>500000000/1000</f>
        <v>500000</v>
      </c>
      <c r="G11" s="128">
        <f>2513616141.4/1000</f>
        <v>2513616.1414</v>
      </c>
      <c r="H11" s="116">
        <f>(31256928405-8992650841-500000000-2513616141.4)/31256928405*100</f>
        <v>61.58846183849778</v>
      </c>
      <c r="I11" s="116">
        <f>15507784028/31256928405*100</f>
        <v>49.61390904142489</v>
      </c>
      <c r="J11" s="116">
        <f>8917834545/31256928405*100</f>
        <v>28.530745022193106</v>
      </c>
      <c r="K11" s="117">
        <f>1073700000/1000</f>
        <v>1073700</v>
      </c>
      <c r="L11" s="118">
        <f>K11*1000/31256928405*100</f>
        <v>3.4350784123376825</v>
      </c>
    </row>
    <row r="12" spans="1:12" s="112" customFormat="1" ht="33" customHeight="1">
      <c r="A12" s="336" t="s">
        <v>686</v>
      </c>
      <c r="B12" s="114">
        <f>D12</f>
        <v>353700</v>
      </c>
      <c r="C12" s="307" t="s">
        <v>673</v>
      </c>
      <c r="D12" s="115">
        <f>353700000/1000</f>
        <v>353700</v>
      </c>
      <c r="E12" s="115">
        <f t="shared" si="0"/>
        <v>3376693.496</v>
      </c>
      <c r="F12" s="115">
        <f>500000000/1000</f>
        <v>500000</v>
      </c>
      <c r="G12" s="128">
        <f>2876693496/1000</f>
        <v>2876693.496</v>
      </c>
      <c r="H12" s="119">
        <f>(33008475278-8856863859-500000000-2876693496)/33008475278*100</f>
        <v>62.93813254938918</v>
      </c>
      <c r="I12" s="119">
        <f>(16661328179/33008475278)*100</f>
        <v>50.47590971311753</v>
      </c>
      <c r="J12" s="119">
        <f>(8805379109/33008475278)*100</f>
        <v>26.676115860670325</v>
      </c>
      <c r="K12" s="117">
        <f>1185880000/1000</f>
        <v>1185880</v>
      </c>
      <c r="L12" s="118">
        <f>1185880000/33008475278*100</f>
        <v>3.592653068681375</v>
      </c>
    </row>
    <row r="13" spans="1:12" s="112" customFormat="1" ht="37.5" customHeight="1">
      <c r="A13" s="39" t="s">
        <v>217</v>
      </c>
      <c r="B13" s="114">
        <f>C13+D13</f>
        <v>7723775.413199999</v>
      </c>
      <c r="C13" s="120">
        <f>7228775413.2/1000</f>
        <v>7228775.413199999</v>
      </c>
      <c r="D13" s="120">
        <f>495000000/1000</f>
        <v>495000</v>
      </c>
      <c r="E13" s="115">
        <f t="shared" si="0"/>
        <v>6003606.897</v>
      </c>
      <c r="F13" s="120">
        <f>3797000000/1000</f>
        <v>3797000</v>
      </c>
      <c r="G13" s="129">
        <f>2206606897/1000</f>
        <v>2206606.897</v>
      </c>
      <c r="H13" s="116">
        <f>(38471512785.8-6294174004)/45700288199*100</f>
        <v>70.40948766380886</v>
      </c>
      <c r="I13" s="116">
        <f>26103910010/45700288199*100</f>
        <v>57.11979297883551</v>
      </c>
      <c r="J13" s="116">
        <f>6210256104/45700288199*100</f>
        <v>13.58909614958597</v>
      </c>
      <c r="K13" s="117">
        <f>(3797000000+725000000)/1000</f>
        <v>4522000</v>
      </c>
      <c r="L13" s="118">
        <f>(3797000000+725000000)/45700288199*100</f>
        <v>9.89490477676889</v>
      </c>
    </row>
    <row r="14" spans="1:12" s="112" customFormat="1" ht="12.75" customHeight="1">
      <c r="A14" s="39"/>
      <c r="B14" s="114"/>
      <c r="C14" s="120"/>
      <c r="D14" s="120"/>
      <c r="E14" s="115"/>
      <c r="F14" s="120"/>
      <c r="G14" s="129"/>
      <c r="H14" s="116"/>
      <c r="I14" s="116"/>
      <c r="J14" s="116"/>
      <c r="K14" s="117"/>
      <c r="L14" s="118"/>
    </row>
    <row r="15" spans="1:12" s="112" customFormat="1" ht="33" customHeight="1">
      <c r="A15" s="336" t="s">
        <v>218</v>
      </c>
      <c r="B15" s="114">
        <f>C15+D15</f>
        <v>11302918.169</v>
      </c>
      <c r="C15" s="120">
        <f>10827918169/1000</f>
        <v>10827918.169</v>
      </c>
      <c r="D15" s="120">
        <f>475000000/1000</f>
        <v>475000</v>
      </c>
      <c r="E15" s="115">
        <f t="shared" si="0"/>
        <v>4820243.6844500005</v>
      </c>
      <c r="F15" s="120">
        <f>3478500000/1000</f>
        <v>3478500</v>
      </c>
      <c r="G15" s="129">
        <f>1341743684.45/1000</f>
        <v>1341743.68445</v>
      </c>
      <c r="H15" s="116">
        <f>(21720788074-5358064996)/32548706243*100</f>
        <v>50.2715006729922</v>
      </c>
      <c r="I15" s="116">
        <f>13455987203/32548706243*100</f>
        <v>41.34108158567401</v>
      </c>
      <c r="J15" s="116">
        <f>5257848527/32548706243*100</f>
        <v>16.153786536848187</v>
      </c>
      <c r="K15" s="117">
        <f>7430500000/1000</f>
        <v>7430500</v>
      </c>
      <c r="L15" s="118">
        <f>K15*1000/32548706243*100</f>
        <v>22.828864362613555</v>
      </c>
    </row>
    <row r="16" spans="1:12" s="112" customFormat="1" ht="33" customHeight="1">
      <c r="A16" s="336" t="s">
        <v>687</v>
      </c>
      <c r="B16" s="114">
        <f>C16+D16</f>
        <v>7240869.31431</v>
      </c>
      <c r="C16" s="115">
        <f>6740336814.31/1000</f>
        <v>6740336.81431</v>
      </c>
      <c r="D16" s="115">
        <f>500532500/1000</f>
        <v>500532.5</v>
      </c>
      <c r="E16" s="115">
        <f>F16</f>
        <v>6400000</v>
      </c>
      <c r="F16" s="115">
        <f>6400000000/1000</f>
        <v>6400000</v>
      </c>
      <c r="G16" s="309" t="s">
        <v>673</v>
      </c>
      <c r="H16" s="116">
        <f>(32289367648.69-10993714399)/39029704463*100</f>
        <v>54.56268127748236</v>
      </c>
      <c r="I16" s="116">
        <f>16426390430/39029704463*100</f>
        <v>42.08689421558944</v>
      </c>
      <c r="J16" s="116">
        <f>10869198892/39029704463*100</f>
        <v>27.848529835279578</v>
      </c>
      <c r="K16" s="117">
        <f>13329967500/1000</f>
        <v>13329967.5</v>
      </c>
      <c r="L16" s="118">
        <f>K16*1000/39029704463*100</f>
        <v>34.15339081708076</v>
      </c>
    </row>
    <row r="17" spans="1:12" s="112" customFormat="1" ht="33" customHeight="1">
      <c r="A17" s="336" t="s">
        <v>219</v>
      </c>
      <c r="B17" s="114">
        <v>2919319</v>
      </c>
      <c r="C17" s="115">
        <v>2919318.901</v>
      </c>
      <c r="D17" s="307" t="s">
        <v>673</v>
      </c>
      <c r="E17" s="115">
        <f>F17</f>
        <v>4670032.5</v>
      </c>
      <c r="F17" s="115">
        <f>4670032500/1000</f>
        <v>4670032.5</v>
      </c>
      <c r="G17" s="309" t="s">
        <v>673</v>
      </c>
      <c r="H17" s="116">
        <f>(34213299820.9-11456557135)/37132618722*100</f>
        <v>61.285046595481</v>
      </c>
      <c r="I17" s="116">
        <f>18378670628/37132618722*100</f>
        <v>49.49467950427954</v>
      </c>
      <c r="J17" s="116">
        <f>11379842880/37132618722*100</f>
        <v>30.646486220638604</v>
      </c>
      <c r="K17" s="117">
        <f>18000000000/1000</f>
        <v>18000000</v>
      </c>
      <c r="L17" s="118">
        <f>18000000000/37132618722*100</f>
        <v>48.474900557809356</v>
      </c>
    </row>
    <row r="18" spans="1:12" s="112" customFormat="1" ht="18" customHeight="1">
      <c r="A18" s="113"/>
      <c r="B18" s="114"/>
      <c r="C18" s="120"/>
      <c r="D18" s="120"/>
      <c r="E18" s="115"/>
      <c r="F18" s="120"/>
      <c r="G18" s="129"/>
      <c r="H18" s="116"/>
      <c r="I18" s="116"/>
      <c r="J18" s="116"/>
      <c r="K18" s="117"/>
      <c r="L18" s="118"/>
    </row>
    <row r="19" spans="1:12" s="112" customFormat="1" ht="33" customHeight="1" thickBot="1">
      <c r="A19" s="337" t="s">
        <v>736</v>
      </c>
      <c r="B19" s="121">
        <f>C19+D19</f>
        <v>12168379.56804</v>
      </c>
      <c r="C19" s="122">
        <v>3138412.06804</v>
      </c>
      <c r="D19" s="122">
        <v>9029967.5</v>
      </c>
      <c r="E19" s="122">
        <f>F19</f>
        <v>7829967.5</v>
      </c>
      <c r="F19" s="122">
        <v>7829967.5</v>
      </c>
      <c r="G19" s="314" t="s">
        <v>673</v>
      </c>
      <c r="H19" s="123">
        <f>(41361676484.96-13601724217)/43300088553*100</f>
        <v>64.11061315493933</v>
      </c>
      <c r="I19" s="123">
        <f>22565607081/43300088553*100</f>
        <v>52.114459427442824</v>
      </c>
      <c r="J19" s="124">
        <f>13601724217/43300088553*100</f>
        <v>31.412693764705057</v>
      </c>
      <c r="K19" s="125">
        <v>16800000</v>
      </c>
      <c r="L19" s="126">
        <f>16800000000/43300088553*100</f>
        <v>38.79899686449031</v>
      </c>
    </row>
    <row r="20" spans="1:7" s="280" customFormat="1" ht="15" customHeight="1">
      <c r="A20" s="283" t="s">
        <v>224</v>
      </c>
      <c r="G20" s="339" t="s">
        <v>236</v>
      </c>
    </row>
    <row r="21" spans="1:7" s="280" customFormat="1" ht="15" customHeight="1">
      <c r="A21" s="283" t="s">
        <v>225</v>
      </c>
      <c r="G21" s="340" t="s">
        <v>230</v>
      </c>
    </row>
    <row r="22" spans="1:7" s="280" customFormat="1" ht="15" customHeight="1">
      <c r="A22" s="283" t="s">
        <v>226</v>
      </c>
      <c r="G22" s="340" t="s">
        <v>231</v>
      </c>
    </row>
    <row r="23" spans="1:7" s="280" customFormat="1" ht="15" customHeight="1">
      <c r="A23" s="283" t="s">
        <v>227</v>
      </c>
      <c r="G23" s="340" t="s">
        <v>232</v>
      </c>
    </row>
    <row r="24" spans="1:7" s="280" customFormat="1" ht="15" customHeight="1">
      <c r="A24" s="283" t="s">
        <v>228</v>
      </c>
      <c r="G24" s="340" t="s">
        <v>233</v>
      </c>
    </row>
    <row r="25" spans="1:7" s="280" customFormat="1" ht="15" customHeight="1">
      <c r="A25" s="283" t="s">
        <v>229</v>
      </c>
      <c r="G25" s="340" t="s">
        <v>234</v>
      </c>
    </row>
    <row r="26" s="277" customFormat="1" ht="15" customHeight="1">
      <c r="G26" s="340" t="s">
        <v>235</v>
      </c>
    </row>
    <row r="27" s="15" customFormat="1" ht="13.5"/>
    <row r="28" s="15" customFormat="1" ht="13.5"/>
  </sheetData>
  <mergeCells count="12">
    <mergeCell ref="J4:J5"/>
    <mergeCell ref="G2:L2"/>
    <mergeCell ref="K4:L4"/>
    <mergeCell ref="K5:K6"/>
    <mergeCell ref="H4:H5"/>
    <mergeCell ref="B5:B6"/>
    <mergeCell ref="E5:E6"/>
    <mergeCell ref="I4:I5"/>
    <mergeCell ref="A2:F2"/>
    <mergeCell ref="A4:A5"/>
    <mergeCell ref="B4:D4"/>
    <mergeCell ref="E4:F4"/>
  </mergeCells>
  <printOptions/>
  <pageMargins left="1.141732283464567" right="1.141732283464567" top="1.5748031496062993" bottom="1.5748031496062993" header="0.5118110236220472" footer="0.9055118110236221"/>
  <pageSetup firstPageNumber="294" useFirstPageNumber="1" horizontalDpi="96" verticalDpi="96" orientation="portrait" paperSize="9" r:id="rId3"/>
  <headerFooter alignWithMargins="0">
    <oddFooter>&amp;C&amp;"超研澤中圓,Regula"&amp;11‧&amp;"Times New Roman,標準"&amp;P&amp;"超研澤中圓,Regula"‧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風然企業有限公司</cp:lastModifiedBy>
  <cp:lastPrinted>2005-08-17T08:40:22Z</cp:lastPrinted>
  <dcterms:created xsi:type="dcterms:W3CDTF">1999-07-17T03:52:56Z</dcterms:created>
  <dcterms:modified xsi:type="dcterms:W3CDTF">2007-02-08T07:24:20Z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-1265021523</vt:i4>
  </property>
  <property fmtid="{D5CDD505-2E9C-101B-9397-08002B2CF9AE}" pid="3" name="_EmailSubject">
    <vt:lpwstr>桃園縣統計要覽-金融財稅</vt:lpwstr>
  </property>
  <property fmtid="{D5CDD505-2E9C-101B-9397-08002B2CF9AE}" pid="4" name="_AuthorEmail">
    <vt:lpwstr>rose1106@ms34.hinet.net</vt:lpwstr>
  </property>
  <property fmtid="{D5CDD505-2E9C-101B-9397-08002B2CF9AE}" pid="5" name="_AuthorEmailDisplayName">
    <vt:lpwstr>李鍾玫</vt:lpwstr>
  </property>
  <property fmtid="{D5CDD505-2E9C-101B-9397-08002B2CF9AE}" pid="6" name="_PreviousAdHocReviewCycleID">
    <vt:i4>-1871715559</vt:i4>
  </property>
  <property fmtid="{D5CDD505-2E9C-101B-9397-08002B2CF9AE}" pid="7" name="_ReviewingToolsShownOnce">
    <vt:lpwstr/>
  </property>
</Properties>
</file>