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12242\Desktop\8.里基層\2.季報表\112年\1.經費\第4季\"/>
    </mc:Choice>
  </mc:AlternateContent>
  <xr:revisionPtr revIDLastSave="0" documentId="8_{AA705771-5A8C-4774-8B10-DD7CE7A81624}" xr6:coauthVersionLast="47" xr6:coauthVersionMax="47" xr10:uidLastSave="{00000000-0000-0000-0000-000000000000}"/>
  <bookViews>
    <workbookView xWindow="-120" yWindow="-120" windowWidth="29040" windowHeight="15720" xr2:uid="{E2BC06BC-49FF-4C34-A17E-5E19D798C3F3}"/>
  </bookViews>
  <sheets>
    <sheet name="第四季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Q57" i="1" s="1"/>
  <c r="D57" i="1"/>
  <c r="T56" i="1"/>
  <c r="S56" i="1"/>
  <c r="Q56" i="1"/>
  <c r="Q55" i="1"/>
  <c r="T55" i="1" s="1"/>
  <c r="P55" i="1"/>
  <c r="N55" i="1"/>
  <c r="D55" i="1"/>
  <c r="N54" i="1"/>
  <c r="Q54" i="1" s="1"/>
  <c r="N53" i="1"/>
  <c r="Q53" i="1" s="1"/>
  <c r="D53" i="1"/>
  <c r="P52" i="1"/>
  <c r="Q52" i="1" s="1"/>
  <c r="N52" i="1"/>
  <c r="D52" i="1"/>
  <c r="T51" i="1"/>
  <c r="S51" i="1"/>
  <c r="Q51" i="1"/>
  <c r="N51" i="1"/>
  <c r="P50" i="1"/>
  <c r="N50" i="1"/>
  <c r="Q50" i="1" s="1"/>
  <c r="N45" i="1"/>
  <c r="Q45" i="1" s="1"/>
  <c r="D45" i="1"/>
  <c r="N44" i="1"/>
  <c r="Q44" i="1" s="1"/>
  <c r="D44" i="1"/>
  <c r="Q43" i="1"/>
  <c r="T43" i="1" s="1"/>
  <c r="P43" i="1"/>
  <c r="N43" i="1"/>
  <c r="T42" i="1"/>
  <c r="S42" i="1"/>
  <c r="Q42" i="1"/>
  <c r="N42" i="1"/>
  <c r="T41" i="1"/>
  <c r="S41" i="1"/>
  <c r="Q41" i="1"/>
  <c r="N41" i="1"/>
  <c r="P40" i="1"/>
  <c r="N40" i="1"/>
  <c r="Q40" i="1" s="1"/>
  <c r="D40" i="1"/>
  <c r="J39" i="1"/>
  <c r="Q39" i="1" s="1"/>
  <c r="D39" i="1"/>
  <c r="Q38" i="1"/>
  <c r="T38" i="1" s="1"/>
  <c r="N38" i="1"/>
  <c r="D38" i="1"/>
  <c r="P37" i="1"/>
  <c r="N37" i="1"/>
  <c r="Q37" i="1" s="1"/>
  <c r="D37" i="1"/>
  <c r="P36" i="1"/>
  <c r="Q36" i="1" s="1"/>
  <c r="N36" i="1"/>
  <c r="Q35" i="1"/>
  <c r="T35" i="1" s="1"/>
  <c r="N35" i="1"/>
  <c r="Q34" i="1"/>
  <c r="T34" i="1" s="1"/>
  <c r="P34" i="1"/>
  <c r="N34" i="1"/>
  <c r="D34" i="1"/>
  <c r="N33" i="1"/>
  <c r="Q33" i="1" s="1"/>
  <c r="P32" i="1"/>
  <c r="Q32" i="1" s="1"/>
  <c r="N32" i="1"/>
  <c r="P31" i="1"/>
  <c r="Q31" i="1" s="1"/>
  <c r="N31" i="1"/>
  <c r="Q30" i="1"/>
  <c r="T30" i="1" s="1"/>
  <c r="P30" i="1"/>
  <c r="N30" i="1"/>
  <c r="N29" i="1"/>
  <c r="Q29" i="1" s="1"/>
  <c r="D29" i="1"/>
  <c r="P28" i="1"/>
  <c r="Q28" i="1" s="1"/>
  <c r="N28" i="1"/>
  <c r="D28" i="1"/>
  <c r="Q27" i="1"/>
  <c r="T27" i="1" s="1"/>
  <c r="P27" i="1"/>
  <c r="N27" i="1"/>
  <c r="D27" i="1"/>
  <c r="P22" i="1"/>
  <c r="Q22" i="1" s="1"/>
  <c r="N22" i="1"/>
  <c r="P21" i="1"/>
  <c r="Q21" i="1" s="1"/>
  <c r="N21" i="1"/>
  <c r="Q20" i="1"/>
  <c r="T20" i="1" s="1"/>
  <c r="P20" i="1"/>
  <c r="N20" i="1"/>
  <c r="D20" i="1"/>
  <c r="P19" i="1"/>
  <c r="Q19" i="1" s="1"/>
  <c r="N19" i="1"/>
  <c r="N18" i="1"/>
  <c r="Q18" i="1" s="1"/>
  <c r="D18" i="1"/>
  <c r="Q17" i="1"/>
  <c r="T17" i="1" s="1"/>
  <c r="N17" i="1"/>
  <c r="Q16" i="1"/>
  <c r="T16" i="1" s="1"/>
  <c r="P16" i="1"/>
  <c r="N16" i="1"/>
  <c r="N15" i="1"/>
  <c r="Q15" i="1" s="1"/>
  <c r="P14" i="1"/>
  <c r="Q14" i="1" s="1"/>
  <c r="N14" i="1"/>
  <c r="D14" i="1"/>
  <c r="N13" i="1"/>
  <c r="Q13" i="1" s="1"/>
  <c r="D13" i="1"/>
  <c r="Q12" i="1"/>
  <c r="T12" i="1" s="1"/>
  <c r="P12" i="1"/>
  <c r="N12" i="1"/>
  <c r="N11" i="1"/>
  <c r="Q11" i="1" s="1"/>
  <c r="H11" i="1"/>
  <c r="H6" i="1" s="1"/>
  <c r="H7" i="1" s="1"/>
  <c r="D11" i="1"/>
  <c r="D6" i="1" s="1"/>
  <c r="D7" i="1" s="1"/>
  <c r="R7" i="1"/>
  <c r="M7" i="1"/>
  <c r="I7" i="1"/>
  <c r="E7" i="1"/>
  <c r="O6" i="1"/>
  <c r="O7" i="1" s="1"/>
  <c r="N6" i="1"/>
  <c r="N7" i="1" s="1"/>
  <c r="M6" i="1"/>
  <c r="L6" i="1"/>
  <c r="L7" i="1" s="1"/>
  <c r="K6" i="1"/>
  <c r="K7" i="1" s="1"/>
  <c r="J6" i="1"/>
  <c r="J7" i="1" s="1"/>
  <c r="I6" i="1"/>
  <c r="G6" i="1"/>
  <c r="G7" i="1" s="1"/>
  <c r="F6" i="1"/>
  <c r="F7" i="1" s="1"/>
  <c r="E6" i="1"/>
  <c r="C6" i="1"/>
  <c r="C7" i="1" s="1"/>
  <c r="S19" i="1" l="1"/>
  <c r="T19" i="1"/>
  <c r="T50" i="1"/>
  <c r="S50" i="1"/>
  <c r="S52" i="1"/>
  <c r="T52" i="1"/>
  <c r="T57" i="1"/>
  <c r="S57" i="1"/>
  <c r="S33" i="1"/>
  <c r="T33" i="1"/>
  <c r="S36" i="1"/>
  <c r="T36" i="1"/>
  <c r="S44" i="1"/>
  <c r="T44" i="1"/>
  <c r="T11" i="1"/>
  <c r="S11" i="1"/>
  <c r="T14" i="1"/>
  <c r="S14" i="1"/>
  <c r="S18" i="1"/>
  <c r="T18" i="1"/>
  <c r="S21" i="1"/>
  <c r="T21" i="1"/>
  <c r="S31" i="1"/>
  <c r="T31" i="1"/>
  <c r="S53" i="1"/>
  <c r="T53" i="1"/>
  <c r="T22" i="1"/>
  <c r="S22" i="1"/>
  <c r="T32" i="1"/>
  <c r="S32" i="1"/>
  <c r="T29" i="1"/>
  <c r="S29" i="1"/>
  <c r="S39" i="1"/>
  <c r="T39" i="1"/>
  <c r="S13" i="1"/>
  <c r="T13" i="1"/>
  <c r="T15" i="1"/>
  <c r="S15" i="1"/>
  <c r="T28" i="1"/>
  <c r="S28" i="1"/>
  <c r="T37" i="1"/>
  <c r="S37" i="1"/>
  <c r="S40" i="1"/>
  <c r="T40" i="1"/>
  <c r="S45" i="1"/>
  <c r="T45" i="1"/>
  <c r="S54" i="1"/>
  <c r="T54" i="1"/>
  <c r="S12" i="1"/>
  <c r="S17" i="1"/>
  <c r="S20" i="1"/>
  <c r="S27" i="1"/>
  <c r="S30" i="1"/>
  <c r="S34" i="1"/>
  <c r="S38" i="1"/>
  <c r="S16" i="1"/>
  <c r="S35" i="1"/>
  <c r="S43" i="1"/>
  <c r="S55" i="1"/>
  <c r="P6" i="1"/>
  <c r="P7" i="1" l="1"/>
  <c r="Q6" i="1"/>
  <c r="T6" i="1" l="1"/>
  <c r="Q7" i="1"/>
  <c r="S6" i="1"/>
  <c r="T7" i="1" l="1"/>
  <c r="S7" i="1"/>
</calcChain>
</file>

<file path=xl/sharedStrings.xml><?xml version="1.0" encoding="utf-8"?>
<sst xmlns="http://schemas.openxmlformats.org/spreadsheetml/2006/main" count="161" uniqueCount="67">
  <si>
    <r>
      <rPr>
        <sz val="22"/>
        <rFont val="標楷體"/>
        <family val="4"/>
        <charset val="136"/>
      </rPr>
      <t>桃園市蘆竹區</t>
    </r>
    <r>
      <rPr>
        <sz val="22"/>
        <rFont val="Times New Roman"/>
        <family val="1"/>
      </rPr>
      <t>112</t>
    </r>
    <r>
      <rPr>
        <sz val="22"/>
        <rFont val="標楷體"/>
        <family val="4"/>
        <charset val="136"/>
      </rPr>
      <t>年度第</t>
    </r>
    <r>
      <rPr>
        <sz val="22"/>
        <rFont val="新細明體"/>
        <family val="4"/>
        <charset val="136"/>
      </rPr>
      <t>四</t>
    </r>
    <r>
      <rPr>
        <sz val="22"/>
        <rFont val="標楷體"/>
        <family val="4"/>
        <charset val="136"/>
      </rPr>
      <t>季（</t>
    </r>
    <r>
      <rPr>
        <sz val="22"/>
        <rFont val="新細明體"/>
        <family val="4"/>
        <charset val="136"/>
      </rPr>
      <t>十</t>
    </r>
    <r>
      <rPr>
        <sz val="22"/>
        <rFont val="標楷體"/>
        <family val="4"/>
        <charset val="136"/>
      </rPr>
      <t>月至</t>
    </r>
    <r>
      <rPr>
        <sz val="22"/>
        <rFont val="新細明體"/>
        <family val="4"/>
        <charset val="136"/>
      </rPr>
      <t>十二</t>
    </r>
    <r>
      <rPr>
        <sz val="22"/>
        <rFont val="標楷體"/>
        <family val="4"/>
        <charset val="136"/>
      </rPr>
      <t>月）里基層工作經費執行情形累計表</t>
    </r>
    <phoneticPr fontId="5" type="noConversion"/>
  </si>
  <si>
    <r>
      <t>　</t>
    </r>
    <r>
      <rPr>
        <sz val="12"/>
        <rFont val="標楷體"/>
        <family val="1"/>
        <charset val="136"/>
      </rPr>
      <t xml:space="preserve">           </t>
    </r>
    <r>
      <rPr>
        <sz val="12"/>
        <rFont val="標楷體"/>
        <family val="4"/>
        <charset val="136"/>
      </rPr>
      <t>填表日期：</t>
    </r>
    <r>
      <rPr>
        <sz val="12"/>
        <rFont val="標楷體"/>
        <family val="1"/>
        <charset val="136"/>
      </rPr>
      <t>112</t>
    </r>
    <r>
      <rPr>
        <sz val="12"/>
        <rFont val="標楷體"/>
        <family val="4"/>
        <charset val="136"/>
      </rPr>
      <t>年</t>
    </r>
    <r>
      <rPr>
        <sz val="12"/>
        <rFont val="標楷體"/>
        <family val="1"/>
        <charset val="136"/>
      </rPr>
      <t>12</t>
    </r>
    <r>
      <rPr>
        <sz val="12"/>
        <rFont val="標楷體"/>
        <family val="4"/>
        <charset val="136"/>
      </rPr>
      <t>月31日</t>
    </r>
    <phoneticPr fontId="5" type="noConversion"/>
  </si>
  <si>
    <t>112年</t>
  </si>
  <si>
    <t>里環境清潔</t>
    <phoneticPr fontId="5" type="noConversion"/>
  </si>
  <si>
    <t>路燈照明</t>
    <phoneticPr fontId="5" type="noConversion"/>
  </si>
  <si>
    <t>溝渠疏通</t>
    <phoneticPr fontId="5" type="noConversion"/>
  </si>
  <si>
    <t>里守望相助</t>
    <phoneticPr fontId="5" type="noConversion"/>
  </si>
  <si>
    <t>災害防救</t>
    <phoneticPr fontId="5" type="noConversion"/>
  </si>
  <si>
    <t>里公務設備</t>
    <phoneticPr fontId="5" type="noConversion"/>
  </si>
  <si>
    <t>其他</t>
    <phoneticPr fontId="5" type="noConversion"/>
  </si>
  <si>
    <r>
      <t xml:space="preserve">執行數
</t>
    </r>
    <r>
      <rPr>
        <sz val="14"/>
        <rFont val="Times New Roman"/>
        <family val="1"/>
      </rPr>
      <t>A</t>
    </r>
    <phoneticPr fontId="5" type="noConversion"/>
  </si>
  <si>
    <r>
      <t xml:space="preserve">撥付數
</t>
    </r>
    <r>
      <rPr>
        <sz val="14"/>
        <rFont val="Times New Roman"/>
        <family val="1"/>
      </rPr>
      <t>B</t>
    </r>
    <phoneticPr fontId="5" type="noConversion"/>
  </si>
  <si>
    <r>
      <t xml:space="preserve">結餘數
</t>
    </r>
    <r>
      <rPr>
        <sz val="14"/>
        <rFont val="Times New Roman"/>
        <family val="1"/>
      </rPr>
      <t>D=B-A</t>
    </r>
    <phoneticPr fontId="5" type="noConversion"/>
  </si>
  <si>
    <r>
      <t>執行率</t>
    </r>
    <r>
      <rPr>
        <sz val="14"/>
        <rFont val="Times New Roman"/>
        <family val="1"/>
      </rPr>
      <t>%</t>
    </r>
    <r>
      <rPr>
        <sz val="14"/>
        <rFont val="標楷體"/>
        <family val="4"/>
        <charset val="136"/>
      </rPr>
      <t xml:space="preserve">
</t>
    </r>
    <r>
      <rPr>
        <sz val="14"/>
        <rFont val="Times New Roman"/>
        <family val="1"/>
      </rPr>
      <t>C=A/B</t>
    </r>
    <phoneticPr fontId="5" type="noConversion"/>
  </si>
  <si>
    <t>備註</t>
    <phoneticPr fontId="5" type="noConversion"/>
  </si>
  <si>
    <t>件數</t>
    <phoneticPr fontId="5" type="noConversion"/>
  </si>
  <si>
    <t>執行數
（元）</t>
    <phoneticPr fontId="5" type="noConversion"/>
  </si>
  <si>
    <t>截至上季執行數</t>
    <phoneticPr fontId="5" type="noConversion"/>
  </si>
  <si>
    <t>本季執行數</t>
    <phoneticPr fontId="5" type="noConversion"/>
  </si>
  <si>
    <t>截至本季執行數</t>
    <phoneticPr fontId="5" type="noConversion"/>
  </si>
  <si>
    <r>
      <rPr>
        <sz val="20"/>
        <rFont val="標楷體"/>
        <family val="4"/>
        <charset val="136"/>
      </rPr>
      <t>桃園市蘆竹區</t>
    </r>
    <r>
      <rPr>
        <sz val="20"/>
        <rFont val="Times New Roman"/>
        <family val="1"/>
      </rPr>
      <t>112</t>
    </r>
    <r>
      <rPr>
        <sz val="20"/>
        <rFont val="標楷體"/>
        <family val="4"/>
        <charset val="136"/>
      </rPr>
      <t>年度第四季（十月至十二月）里基層工作經費執行情形季報表</t>
    </r>
    <phoneticPr fontId="5" type="noConversion"/>
  </si>
  <si>
    <t>編號</t>
    <phoneticPr fontId="5" type="noConversion"/>
  </si>
  <si>
    <t>里別</t>
    <phoneticPr fontId="5" type="noConversion"/>
  </si>
  <si>
    <r>
      <t>結餘數　</t>
    </r>
    <r>
      <rPr>
        <sz val="14"/>
        <rFont val="Times New Roman"/>
        <family val="1"/>
      </rPr>
      <t>D=B-A</t>
    </r>
    <phoneticPr fontId="5" type="noConversion"/>
  </si>
  <si>
    <r>
      <t>執行率</t>
    </r>
    <r>
      <rPr>
        <sz val="14"/>
        <rFont val="Times New Roman"/>
        <family val="1"/>
      </rPr>
      <t>%</t>
    </r>
    <r>
      <rPr>
        <sz val="14"/>
        <rFont val="標楷體"/>
        <family val="4"/>
        <charset val="136"/>
      </rPr>
      <t>　</t>
    </r>
    <r>
      <rPr>
        <sz val="14"/>
        <rFont val="Times New Roman"/>
        <family val="1"/>
      </rPr>
      <t>C=A/B</t>
    </r>
    <phoneticPr fontId="5" type="noConversion"/>
  </si>
  <si>
    <t>上竹里</t>
  </si>
  <si>
    <t>上興里</t>
    <phoneticPr fontId="5" type="noConversion"/>
  </si>
  <si>
    <t>大竹里</t>
  </si>
  <si>
    <t>山腳里</t>
  </si>
  <si>
    <t>山鼻里</t>
  </si>
  <si>
    <t>中山里</t>
  </si>
  <si>
    <t>中福里</t>
  </si>
  <si>
    <t>中興里</t>
  </si>
  <si>
    <t>五福里</t>
  </si>
  <si>
    <t>內厝里</t>
  </si>
  <si>
    <t>正興里</t>
    <phoneticPr fontId="5" type="noConversion"/>
  </si>
  <si>
    <t>外社里</t>
  </si>
  <si>
    <t>　　承辦人　　　　　　　　　　　　　　主辦課課長　　　　　　　　　　　　　　會計主任　　　　　　　　　　　　　　區長</t>
    <phoneticPr fontId="5" type="noConversion"/>
  </si>
  <si>
    <t>執行數　（元）</t>
    <phoneticPr fontId="5" type="noConversion"/>
  </si>
  <si>
    <t>瓦窯里</t>
  </si>
  <si>
    <t>吉祥里</t>
  </si>
  <si>
    <t>羊稠里</t>
  </si>
  <si>
    <t>坑口里</t>
  </si>
  <si>
    <t>坑子里</t>
  </si>
  <si>
    <t>宏竹里</t>
  </si>
  <si>
    <t>長壽里</t>
  </si>
  <si>
    <t>長興里</t>
  </si>
  <si>
    <t>南崁里</t>
  </si>
  <si>
    <t>南榮里</t>
  </si>
  <si>
    <t>南興里</t>
  </si>
  <si>
    <t>海湖里</t>
  </si>
  <si>
    <t>富竹里</t>
  </si>
  <si>
    <t>順興里</t>
  </si>
  <si>
    <t>新莊里</t>
  </si>
  <si>
    <t>新興里</t>
  </si>
  <si>
    <t>福昌里</t>
  </si>
  <si>
    <t>福祿里</t>
  </si>
  <si>
    <t>福興里</t>
  </si>
  <si>
    <r>
      <t>桃園市蘆竹區</t>
    </r>
    <r>
      <rPr>
        <sz val="20"/>
        <rFont val="Times New Roman"/>
        <family val="1"/>
      </rPr>
      <t>112</t>
    </r>
    <r>
      <rPr>
        <sz val="20"/>
        <rFont val="標楷體"/>
        <family val="4"/>
        <charset val="136"/>
      </rPr>
      <t>年度第四季（十月至十二月）里基層工作經費執行情形季報表</t>
    </r>
    <phoneticPr fontId="5" type="noConversion"/>
  </si>
  <si>
    <t>興榮里</t>
  </si>
  <si>
    <t>錦中里</t>
  </si>
  <si>
    <t>錦興里</t>
  </si>
  <si>
    <t>濱海里</t>
    <phoneticPr fontId="5" type="noConversion"/>
  </si>
  <si>
    <t>營福里</t>
  </si>
  <si>
    <t>營盤里</t>
  </si>
  <si>
    <t>蘆竹里</t>
  </si>
  <si>
    <t>蘆興里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</si>
</sst>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7">
    <font>
      <sz val="12"/>
      <name val="新細明體"/>
      <family val="1"/>
      <charset val="136"/>
    </font>
    <font>
      <sz val="22"/>
      <name val="Times New Roman"/>
      <family val="4"/>
      <charset val="136"/>
    </font>
    <font>
      <sz val="22"/>
      <name val="標楷體"/>
      <family val="4"/>
      <charset val="136"/>
    </font>
    <font>
      <sz val="22"/>
      <name val="Times New Roman"/>
      <family val="1"/>
    </font>
    <font>
      <sz val="22"/>
      <name val="新細明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標楷體"/>
      <family val="1"/>
      <charset val="136"/>
    </font>
    <font>
      <sz val="12"/>
      <name val="Times New Roman"/>
      <family val="1"/>
    </font>
    <font>
      <u/>
      <sz val="12"/>
      <color theme="10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20"/>
      <name val="Times New Roman"/>
      <family val="4"/>
      <charset val="136"/>
    </font>
    <font>
      <sz val="20"/>
      <name val="標楷體"/>
      <family val="4"/>
      <charset val="136"/>
    </font>
    <font>
      <sz val="20"/>
      <name val="Times New Roman"/>
      <family val="1"/>
    </font>
    <font>
      <sz val="2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9" fillId="0" borderId="0" xfId="1"/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center" vertical="center"/>
    </xf>
    <xf numFmtId="10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5" fillId="0" borderId="0" xfId="0" applyFont="1"/>
    <xf numFmtId="0" fontId="16" fillId="0" borderId="2" xfId="0" applyFont="1" applyBorder="1" applyAlignment="1">
      <alignment vertical="center"/>
    </xf>
    <xf numFmtId="0" fontId="0" fillId="0" borderId="2" xfId="0" applyBorder="1"/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7620</xdr:rowOff>
    </xdr:from>
    <xdr:to>
      <xdr:col>2</xdr:col>
      <xdr:colOff>7620</xdr:colOff>
      <xdr:row>3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87B8B75-31F1-4A75-BFF6-FF42A58789F9}"/>
            </a:ext>
          </a:extLst>
        </xdr:cNvPr>
        <xdr:cNvSpPr>
          <a:spLocks noChangeShapeType="1"/>
        </xdr:cNvSpPr>
      </xdr:nvSpPr>
      <xdr:spPr bwMode="auto">
        <a:xfrm>
          <a:off x="15240" y="922020"/>
          <a:ext cx="121158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307490</xdr:colOff>
      <xdr:row>2</xdr:row>
      <xdr:rowOff>2689</xdr:rowOff>
    </xdr:from>
    <xdr:ext cx="386773" cy="26597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620F2BC-31DC-41AF-95F8-9FA0B6EB9FDF}"/>
            </a:ext>
          </a:extLst>
        </xdr:cNvPr>
        <xdr:cNvSpPr txBox="1">
          <a:spLocks noChangeArrowheads="1"/>
        </xdr:cNvSpPr>
      </xdr:nvSpPr>
      <xdr:spPr bwMode="auto">
        <a:xfrm>
          <a:off x="787550" y="917089"/>
          <a:ext cx="386773" cy="265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  <a:endParaRPr lang="zh-TW" altLang="en-US" sz="1050"/>
        </a:p>
      </xdr:txBody>
    </xdr:sp>
    <xdr:clientData/>
  </xdr:oneCellAnchor>
  <xdr:oneCellAnchor>
    <xdr:from>
      <xdr:col>1</xdr:col>
      <xdr:colOff>182880</xdr:colOff>
      <xdr:row>2</xdr:row>
      <xdr:rowOff>259080</xdr:rowOff>
    </xdr:from>
    <xdr:ext cx="521425" cy="404213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68038E3-917B-415B-BC48-C2F831A7435B}"/>
            </a:ext>
          </a:extLst>
        </xdr:cNvPr>
        <xdr:cNvSpPr txBox="1">
          <a:spLocks noChangeArrowheads="1"/>
        </xdr:cNvSpPr>
      </xdr:nvSpPr>
      <xdr:spPr bwMode="auto">
        <a:xfrm>
          <a:off x="662940" y="1173480"/>
          <a:ext cx="521425" cy="404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lnSpc>
              <a:spcPts val="1500"/>
            </a:lnSpc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數</a:t>
          </a:r>
        </a:p>
        <a:p>
          <a:pPr algn="l" rtl="0">
            <a:lnSpc>
              <a:spcPts val="1400"/>
            </a:lnSpc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量</a:t>
          </a:r>
          <a:endParaRPr lang="zh-TW" altLang="en-US" sz="1050"/>
        </a:p>
      </xdr:txBody>
    </xdr:sp>
    <xdr:clientData/>
  </xdr:oneCellAnchor>
  <xdr:oneCellAnchor>
    <xdr:from>
      <xdr:col>0</xdr:col>
      <xdr:colOff>27790</xdr:colOff>
      <xdr:row>2</xdr:row>
      <xdr:rowOff>137160</xdr:rowOff>
    </xdr:from>
    <xdr:ext cx="566309" cy="650434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2D7344C-6585-4B97-8C59-B5B4B8E5D6E6}"/>
            </a:ext>
          </a:extLst>
        </xdr:cNvPr>
        <xdr:cNvSpPr txBox="1">
          <a:spLocks noChangeArrowheads="1"/>
        </xdr:cNvSpPr>
      </xdr:nvSpPr>
      <xdr:spPr bwMode="auto">
        <a:xfrm>
          <a:off x="27790" y="1051560"/>
          <a:ext cx="566309" cy="650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lnSpc>
              <a:spcPts val="1500"/>
            </a:lnSpc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執</a:t>
          </a:r>
        </a:p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　行</a:t>
          </a:r>
        </a:p>
        <a:p>
          <a:pPr algn="l" rtl="0">
            <a:lnSpc>
              <a:spcPts val="1500"/>
            </a:lnSpc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　　數</a:t>
          </a:r>
          <a:endParaRPr lang="zh-TW" altLang="en-US" sz="1050"/>
        </a:p>
      </xdr:txBody>
    </xdr:sp>
    <xdr:clientData/>
  </xdr:oneCellAnchor>
  <xdr:twoCellAnchor>
    <xdr:from>
      <xdr:col>0</xdr:col>
      <xdr:colOff>15240</xdr:colOff>
      <xdr:row>2</xdr:row>
      <xdr:rowOff>22860</xdr:rowOff>
    </xdr:from>
    <xdr:to>
      <xdr:col>1</xdr:col>
      <xdr:colOff>579120</xdr:colOff>
      <xdr:row>4</xdr:row>
      <xdr:rowOff>7620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9FD314BD-41B5-4F1C-8441-A6C56B1324E4}"/>
            </a:ext>
          </a:extLst>
        </xdr:cNvPr>
        <xdr:cNvSpPr>
          <a:spLocks noChangeShapeType="1"/>
        </xdr:cNvSpPr>
      </xdr:nvSpPr>
      <xdr:spPr bwMode="auto">
        <a:xfrm>
          <a:off x="15240" y="937260"/>
          <a:ext cx="1043940" cy="899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Downloads/+++112&#24180;&#37324;&#22522;&#23652;&#24037;&#20316;&#32147;&#36027;&#22519;&#34892;&#24773;&#24418;&#34920;(&#27491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DD306-5AA0-4131-AE4E-3243FF0963D4}">
  <dimension ref="A1:V69"/>
  <sheetViews>
    <sheetView tabSelected="1" zoomScaleNormal="100" zoomScaleSheetLayoutView="100" workbookViewId="0">
      <pane ySplit="7" topLeftCell="A47" activePane="bottomLeft" state="frozen"/>
      <selection pane="bottomLeft" activeCell="N5" sqref="N5"/>
    </sheetView>
  </sheetViews>
  <sheetFormatPr defaultRowHeight="16.5"/>
  <cols>
    <col min="1" max="1" width="7" customWidth="1"/>
    <col min="2" max="2" width="10.75" customWidth="1"/>
    <col min="3" max="3" width="6.75" customWidth="1"/>
    <col min="4" max="4" width="11.625" customWidth="1"/>
    <col min="5" max="5" width="5.5" customWidth="1"/>
    <col min="6" max="6" width="9.5" customWidth="1"/>
    <col min="7" max="7" width="5.625" customWidth="1"/>
    <col min="8" max="8" width="10.75" customWidth="1"/>
    <col min="9" max="9" width="6.125" customWidth="1"/>
    <col min="10" max="10" width="12.5" customWidth="1"/>
    <col min="11" max="11" width="5.875" customWidth="1"/>
    <col min="12" max="12" width="10.75" customWidth="1"/>
    <col min="13" max="13" width="6.75" customWidth="1"/>
    <col min="14" max="14" width="11.625" customWidth="1"/>
    <col min="15" max="15" width="6.75" customWidth="1"/>
    <col min="16" max="16" width="12.875" customWidth="1"/>
    <col min="17" max="17" width="14.5" customWidth="1"/>
    <col min="18" max="18" width="13.625" bestFit="1" customWidth="1"/>
    <col min="19" max="19" width="13.125" customWidth="1"/>
    <col min="20" max="20" width="10.25" customWidth="1"/>
    <col min="21" max="21" width="5.625" customWidth="1"/>
  </cols>
  <sheetData>
    <row r="1" spans="1:22" ht="36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2" ht="36" customHeight="1">
      <c r="A2" s="27" t="s">
        <v>1</v>
      </c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" t="s">
        <v>2</v>
      </c>
    </row>
    <row r="3" spans="1:22" ht="36" customHeight="1">
      <c r="A3" s="15"/>
      <c r="B3" s="15"/>
      <c r="C3" s="14" t="s">
        <v>3</v>
      </c>
      <c r="D3" s="15"/>
      <c r="E3" s="14" t="s">
        <v>4</v>
      </c>
      <c r="F3" s="15"/>
      <c r="G3" s="14" t="s">
        <v>5</v>
      </c>
      <c r="H3" s="15"/>
      <c r="I3" s="14" t="s">
        <v>6</v>
      </c>
      <c r="J3" s="15"/>
      <c r="K3" s="14" t="s">
        <v>7</v>
      </c>
      <c r="L3" s="15"/>
      <c r="M3" s="14" t="s">
        <v>8</v>
      </c>
      <c r="N3" s="15"/>
      <c r="O3" s="14" t="s">
        <v>9</v>
      </c>
      <c r="P3" s="15"/>
      <c r="Q3" s="17" t="s">
        <v>10</v>
      </c>
      <c r="R3" s="17" t="s">
        <v>11</v>
      </c>
      <c r="S3" s="17" t="s">
        <v>12</v>
      </c>
      <c r="T3" s="17" t="s">
        <v>13</v>
      </c>
      <c r="U3" s="14" t="s">
        <v>14</v>
      </c>
      <c r="V3" s="1"/>
    </row>
    <row r="4" spans="1:22" ht="36" customHeight="1">
      <c r="A4" s="15"/>
      <c r="B4" s="15"/>
      <c r="C4" s="3" t="s">
        <v>15</v>
      </c>
      <c r="D4" s="4" t="s">
        <v>16</v>
      </c>
      <c r="E4" s="3" t="s">
        <v>15</v>
      </c>
      <c r="F4" s="4" t="s">
        <v>16</v>
      </c>
      <c r="G4" s="3" t="s">
        <v>15</v>
      </c>
      <c r="H4" s="4" t="s">
        <v>16</v>
      </c>
      <c r="I4" s="3" t="s">
        <v>15</v>
      </c>
      <c r="J4" s="4" t="s">
        <v>16</v>
      </c>
      <c r="K4" s="3" t="s">
        <v>15</v>
      </c>
      <c r="L4" s="4" t="s">
        <v>16</v>
      </c>
      <c r="M4" s="3" t="s">
        <v>15</v>
      </c>
      <c r="N4" s="4" t="s">
        <v>16</v>
      </c>
      <c r="O4" s="3" t="s">
        <v>15</v>
      </c>
      <c r="P4" s="4" t="s">
        <v>16</v>
      </c>
      <c r="Q4" s="18"/>
      <c r="R4" s="18"/>
      <c r="S4" s="18"/>
      <c r="T4" s="18"/>
      <c r="U4" s="15"/>
    </row>
    <row r="5" spans="1:22" ht="36" customHeight="1">
      <c r="A5" s="14" t="s">
        <v>17</v>
      </c>
      <c r="B5" s="15"/>
      <c r="C5" s="5">
        <v>91</v>
      </c>
      <c r="D5" s="5">
        <v>5692300</v>
      </c>
      <c r="E5" s="5">
        <v>1</v>
      </c>
      <c r="F5" s="5">
        <v>5591</v>
      </c>
      <c r="G5" s="5">
        <v>2</v>
      </c>
      <c r="H5" s="5">
        <v>117075</v>
      </c>
      <c r="I5" s="5">
        <v>43</v>
      </c>
      <c r="J5" s="5">
        <v>2348864</v>
      </c>
      <c r="K5" s="5">
        <v>1</v>
      </c>
      <c r="L5" s="5">
        <v>13200</v>
      </c>
      <c r="M5" s="5">
        <v>642</v>
      </c>
      <c r="N5" s="5">
        <v>3420641</v>
      </c>
      <c r="O5" s="5">
        <v>173</v>
      </c>
      <c r="P5" s="5">
        <v>3407472</v>
      </c>
      <c r="Q5" s="6">
        <v>15005143</v>
      </c>
      <c r="R5" s="6">
        <v>17550000</v>
      </c>
      <c r="S5" s="7">
        <v>2544857</v>
      </c>
      <c r="T5" s="8">
        <v>0.85499390313390311</v>
      </c>
      <c r="U5" s="7"/>
    </row>
    <row r="6" spans="1:22" ht="36" customHeight="1">
      <c r="A6" s="14" t="s">
        <v>18</v>
      </c>
      <c r="B6" s="15"/>
      <c r="C6" s="7">
        <f>C11+C12+C13+C14+C15+C16+C17+C18+C19+C20+C21+C22+C27+C28+C29+C30+C31+C32+C33+C34+C35+C36+C37+C38+C39+C40+C41+C42+C43+C44+C45+C50+C51+C52+C53+C54+C55+C56+C57</f>
        <v>72</v>
      </c>
      <c r="D6" s="7">
        <f t="shared" ref="D6:P6" si="0">D11+D12+D13+D14+D15+D16+D17+D18+D19+D20+D21+D22+D27+D28+D29+D30+D31+D32+D33+D34+D35+D36+D37+D38+D39+D40+D41+D42+D43+D44+D45+D50+D51+D52+D53+D54+D55+D56+D57</f>
        <v>2852821</v>
      </c>
      <c r="E6" s="7">
        <f t="shared" si="0"/>
        <v>1</v>
      </c>
      <c r="F6" s="7">
        <f t="shared" si="0"/>
        <v>4800</v>
      </c>
      <c r="G6" s="7">
        <f t="shared" si="0"/>
        <v>3</v>
      </c>
      <c r="H6" s="7">
        <f t="shared" si="0"/>
        <v>174662</v>
      </c>
      <c r="I6" s="7">
        <f t="shared" si="0"/>
        <v>11</v>
      </c>
      <c r="J6" s="7">
        <f t="shared" si="0"/>
        <v>772616</v>
      </c>
      <c r="K6" s="7">
        <f t="shared" si="0"/>
        <v>1</v>
      </c>
      <c r="L6" s="7">
        <f t="shared" si="0"/>
        <v>43900</v>
      </c>
      <c r="M6" s="7">
        <f t="shared" si="0"/>
        <v>196</v>
      </c>
      <c r="N6" s="7">
        <f t="shared" si="0"/>
        <v>1332154</v>
      </c>
      <c r="O6" s="7">
        <f t="shared" si="0"/>
        <v>70</v>
      </c>
      <c r="P6" s="7">
        <f t="shared" si="0"/>
        <v>2693304</v>
      </c>
      <c r="Q6" s="7">
        <f>P6+N6+L6+J6+H6+F6+D6</f>
        <v>7874257</v>
      </c>
      <c r="R6" s="7">
        <v>5850000</v>
      </c>
      <c r="S6" s="7">
        <f>R6-Q6</f>
        <v>-2024257</v>
      </c>
      <c r="T6" s="8">
        <f>Q6/R6</f>
        <v>1.3460268376068376</v>
      </c>
      <c r="U6" s="7"/>
    </row>
    <row r="7" spans="1:22" ht="36" customHeight="1">
      <c r="A7" s="23" t="s">
        <v>19</v>
      </c>
      <c r="B7" s="24"/>
      <c r="C7" s="7">
        <f>C5+C6</f>
        <v>163</v>
      </c>
      <c r="D7" s="7">
        <f t="shared" ref="D7:Q7" si="1">D5+D6</f>
        <v>8545121</v>
      </c>
      <c r="E7" s="7">
        <f t="shared" si="1"/>
        <v>2</v>
      </c>
      <c r="F7" s="7">
        <f t="shared" si="1"/>
        <v>10391</v>
      </c>
      <c r="G7" s="7">
        <f t="shared" si="1"/>
        <v>5</v>
      </c>
      <c r="H7" s="7">
        <f t="shared" si="1"/>
        <v>291737</v>
      </c>
      <c r="I7" s="7">
        <f t="shared" si="1"/>
        <v>54</v>
      </c>
      <c r="J7" s="7">
        <f t="shared" si="1"/>
        <v>3121480</v>
      </c>
      <c r="K7" s="7">
        <f t="shared" si="1"/>
        <v>2</v>
      </c>
      <c r="L7" s="7">
        <f t="shared" si="1"/>
        <v>57100</v>
      </c>
      <c r="M7" s="7">
        <f t="shared" si="1"/>
        <v>838</v>
      </c>
      <c r="N7" s="7">
        <f t="shared" si="1"/>
        <v>4752795</v>
      </c>
      <c r="O7" s="7">
        <f t="shared" si="1"/>
        <v>243</v>
      </c>
      <c r="P7" s="7">
        <f t="shared" si="1"/>
        <v>6100776</v>
      </c>
      <c r="Q7" s="7">
        <f t="shared" si="1"/>
        <v>22879400</v>
      </c>
      <c r="R7" s="7">
        <f>R5+R6</f>
        <v>23400000</v>
      </c>
      <c r="S7" s="7">
        <f>R7-Q7</f>
        <v>520600</v>
      </c>
      <c r="T7" s="8">
        <f>Q7/R7</f>
        <v>0.97775213675213679</v>
      </c>
      <c r="U7" s="7"/>
    </row>
    <row r="8" spans="1:22" ht="36" customHeight="1">
      <c r="A8" s="22" t="s">
        <v>20</v>
      </c>
      <c r="B8" s="20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36" customHeight="1">
      <c r="A9" s="14" t="s">
        <v>21</v>
      </c>
      <c r="B9" s="14" t="s">
        <v>22</v>
      </c>
      <c r="C9" s="14" t="s">
        <v>3</v>
      </c>
      <c r="D9" s="15"/>
      <c r="E9" s="14" t="s">
        <v>4</v>
      </c>
      <c r="F9" s="15"/>
      <c r="G9" s="14" t="s">
        <v>5</v>
      </c>
      <c r="H9" s="15"/>
      <c r="I9" s="14" t="s">
        <v>6</v>
      </c>
      <c r="J9" s="15"/>
      <c r="K9" s="14" t="s">
        <v>7</v>
      </c>
      <c r="L9" s="15"/>
      <c r="M9" s="14" t="s">
        <v>8</v>
      </c>
      <c r="N9" s="15"/>
      <c r="O9" s="14" t="s">
        <v>9</v>
      </c>
      <c r="P9" s="15"/>
      <c r="Q9" s="17" t="s">
        <v>10</v>
      </c>
      <c r="R9" s="17" t="s">
        <v>11</v>
      </c>
      <c r="S9" s="17" t="s">
        <v>23</v>
      </c>
      <c r="T9" s="17" t="s">
        <v>24</v>
      </c>
      <c r="U9" s="14" t="s">
        <v>14</v>
      </c>
    </row>
    <row r="10" spans="1:22" ht="36" customHeight="1">
      <c r="A10" s="15"/>
      <c r="B10" s="15"/>
      <c r="C10" s="3" t="s">
        <v>15</v>
      </c>
      <c r="D10" s="4" t="s">
        <v>16</v>
      </c>
      <c r="E10" s="3" t="s">
        <v>15</v>
      </c>
      <c r="F10" s="4" t="s">
        <v>16</v>
      </c>
      <c r="G10" s="3" t="s">
        <v>15</v>
      </c>
      <c r="H10" s="4" t="s">
        <v>16</v>
      </c>
      <c r="I10" s="3" t="s">
        <v>15</v>
      </c>
      <c r="J10" s="4" t="s">
        <v>16</v>
      </c>
      <c r="K10" s="3" t="s">
        <v>15</v>
      </c>
      <c r="L10" s="4" t="s">
        <v>16</v>
      </c>
      <c r="M10" s="3" t="s">
        <v>15</v>
      </c>
      <c r="N10" s="4" t="s">
        <v>16</v>
      </c>
      <c r="O10" s="3" t="s">
        <v>15</v>
      </c>
      <c r="P10" s="4" t="s">
        <v>16</v>
      </c>
      <c r="Q10" s="18"/>
      <c r="R10" s="18"/>
      <c r="S10" s="18"/>
      <c r="T10" s="18"/>
      <c r="U10" s="15"/>
    </row>
    <row r="11" spans="1:22" ht="36" customHeight="1">
      <c r="A11" s="2">
        <v>1</v>
      </c>
      <c r="B11" s="3" t="s">
        <v>25</v>
      </c>
      <c r="C11" s="5">
        <v>2</v>
      </c>
      <c r="D11" s="5">
        <f>3220+10663</f>
        <v>13883</v>
      </c>
      <c r="E11" s="5"/>
      <c r="F11" s="5"/>
      <c r="G11" s="5">
        <v>2</v>
      </c>
      <c r="H11" s="5">
        <f>89762+60900</f>
        <v>150662</v>
      </c>
      <c r="I11" s="5"/>
      <c r="J11" s="5"/>
      <c r="K11" s="5"/>
      <c r="L11" s="5"/>
      <c r="M11" s="5">
        <v>5</v>
      </c>
      <c r="N11" s="5">
        <f>950+27600+950+5780+950</f>
        <v>36230</v>
      </c>
      <c r="O11" s="5"/>
      <c r="P11" s="5"/>
      <c r="Q11" s="5">
        <f>P11+N11+L11+J11+H11+F11+D11</f>
        <v>200775</v>
      </c>
      <c r="R11" s="7">
        <v>150000</v>
      </c>
      <c r="S11" s="7">
        <f>R11-Q11</f>
        <v>-50775</v>
      </c>
      <c r="T11" s="8">
        <f>Q11/R11</f>
        <v>1.3385</v>
      </c>
      <c r="U11" s="9"/>
    </row>
    <row r="12" spans="1:22" ht="36" customHeight="1">
      <c r="A12" s="2">
        <v>2</v>
      </c>
      <c r="B12" s="3" t="s">
        <v>26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4</v>
      </c>
      <c r="N12" s="5">
        <f>950+950+2380+950</f>
        <v>5230</v>
      </c>
      <c r="O12" s="5">
        <v>4</v>
      </c>
      <c r="P12" s="5">
        <f>163726+45000+1600+78910</f>
        <v>289236</v>
      </c>
      <c r="Q12" s="5">
        <f t="shared" ref="Q12:Q22" si="2">P12+N12+L12+J12+H12+F12+D12</f>
        <v>294466</v>
      </c>
      <c r="R12" s="7">
        <v>150000</v>
      </c>
      <c r="S12" s="7">
        <f t="shared" ref="S12:S22" si="3">R12-Q12</f>
        <v>-144466</v>
      </c>
      <c r="T12" s="8">
        <f t="shared" ref="T12:T22" si="4">Q12/R12</f>
        <v>1.9631066666666668</v>
      </c>
      <c r="U12" s="9"/>
    </row>
    <row r="13" spans="1:22" ht="36" customHeight="1">
      <c r="A13" s="2">
        <v>3</v>
      </c>
      <c r="B13" s="3" t="s">
        <v>27</v>
      </c>
      <c r="C13" s="5">
        <v>6</v>
      </c>
      <c r="D13" s="5">
        <f>734+1365+26432+1007+14150+73000</f>
        <v>116688</v>
      </c>
      <c r="E13" s="5"/>
      <c r="F13" s="5"/>
      <c r="G13" s="5"/>
      <c r="H13" s="5"/>
      <c r="I13" s="5"/>
      <c r="J13" s="5"/>
      <c r="K13" s="5"/>
      <c r="L13" s="5"/>
      <c r="M13" s="5">
        <v>8</v>
      </c>
      <c r="N13" s="5">
        <f>950+599+950+599+3576+2410+950+599</f>
        <v>10633</v>
      </c>
      <c r="O13" s="5">
        <v>1</v>
      </c>
      <c r="P13" s="5">
        <v>21480</v>
      </c>
      <c r="Q13" s="5">
        <f t="shared" si="2"/>
        <v>148801</v>
      </c>
      <c r="R13" s="7">
        <v>150000</v>
      </c>
      <c r="S13" s="7">
        <f t="shared" si="3"/>
        <v>1199</v>
      </c>
      <c r="T13" s="8">
        <f t="shared" si="4"/>
        <v>0.9920066666666667</v>
      </c>
      <c r="U13" s="9"/>
    </row>
    <row r="14" spans="1:22" ht="36" customHeight="1">
      <c r="A14" s="2">
        <v>4</v>
      </c>
      <c r="B14" s="10" t="s">
        <v>28</v>
      </c>
      <c r="C14" s="5">
        <v>3</v>
      </c>
      <c r="D14" s="5">
        <f>14800+11600+53500</f>
        <v>79900</v>
      </c>
      <c r="E14" s="5"/>
      <c r="F14" s="5"/>
      <c r="G14" s="5"/>
      <c r="H14" s="5"/>
      <c r="I14" s="5">
        <v>1</v>
      </c>
      <c r="J14" s="5">
        <v>107350</v>
      </c>
      <c r="K14" s="5"/>
      <c r="L14" s="5"/>
      <c r="M14" s="5">
        <v>3</v>
      </c>
      <c r="N14" s="5">
        <f>950+950+950</f>
        <v>2850</v>
      </c>
      <c r="O14" s="5">
        <v>2</v>
      </c>
      <c r="P14" s="5">
        <f>63984+39000</f>
        <v>102984</v>
      </c>
      <c r="Q14" s="5">
        <f t="shared" si="2"/>
        <v>293084</v>
      </c>
      <c r="R14" s="7">
        <v>150000</v>
      </c>
      <c r="S14" s="7">
        <f t="shared" si="3"/>
        <v>-143084</v>
      </c>
      <c r="T14" s="8">
        <f t="shared" si="4"/>
        <v>1.9538933333333333</v>
      </c>
      <c r="U14" s="9"/>
    </row>
    <row r="15" spans="1:22" ht="36" customHeight="1">
      <c r="A15" s="2">
        <v>5</v>
      </c>
      <c r="B15" s="10" t="s">
        <v>29</v>
      </c>
      <c r="C15" s="5">
        <v>1</v>
      </c>
      <c r="D15" s="5">
        <v>132500</v>
      </c>
      <c r="E15" s="5"/>
      <c r="F15" s="5"/>
      <c r="G15" s="5"/>
      <c r="H15" s="5"/>
      <c r="I15" s="5"/>
      <c r="J15" s="5"/>
      <c r="K15" s="5"/>
      <c r="L15" s="5"/>
      <c r="M15" s="5">
        <v>3</v>
      </c>
      <c r="N15" s="5">
        <f>950+950+950</f>
        <v>2850</v>
      </c>
      <c r="O15" s="5"/>
      <c r="P15" s="5"/>
      <c r="Q15" s="5">
        <f t="shared" si="2"/>
        <v>135350</v>
      </c>
      <c r="R15" s="7">
        <v>150000</v>
      </c>
      <c r="S15" s="7">
        <f t="shared" si="3"/>
        <v>14650</v>
      </c>
      <c r="T15" s="8">
        <f t="shared" si="4"/>
        <v>0.90233333333333332</v>
      </c>
      <c r="U15" s="9"/>
    </row>
    <row r="16" spans="1:22" ht="36" customHeight="1">
      <c r="A16" s="2">
        <v>6</v>
      </c>
      <c r="B16" s="10" t="s">
        <v>30</v>
      </c>
      <c r="C16" s="5">
        <v>1</v>
      </c>
      <c r="D16" s="5">
        <v>21000</v>
      </c>
      <c r="E16" s="5"/>
      <c r="F16" s="5"/>
      <c r="G16" s="5"/>
      <c r="H16" s="5"/>
      <c r="I16" s="5"/>
      <c r="J16" s="5"/>
      <c r="K16" s="5"/>
      <c r="L16" s="5"/>
      <c r="M16" s="5">
        <v>4</v>
      </c>
      <c r="N16" s="5">
        <f>950+950+127300+950</f>
        <v>130150</v>
      </c>
      <c r="O16" s="5">
        <v>4</v>
      </c>
      <c r="P16" s="5">
        <f>19990+19990+1700+19990</f>
        <v>61670</v>
      </c>
      <c r="Q16" s="5">
        <f t="shared" si="2"/>
        <v>212820</v>
      </c>
      <c r="R16" s="7">
        <v>150000</v>
      </c>
      <c r="S16" s="7">
        <f t="shared" si="3"/>
        <v>-62820</v>
      </c>
      <c r="T16" s="8">
        <f t="shared" si="4"/>
        <v>1.4188000000000001</v>
      </c>
      <c r="U16" s="9"/>
    </row>
    <row r="17" spans="1:21" ht="36" customHeight="1">
      <c r="A17" s="2">
        <v>7</v>
      </c>
      <c r="B17" s="10" t="s">
        <v>31</v>
      </c>
      <c r="C17" s="5">
        <v>1</v>
      </c>
      <c r="D17" s="5">
        <v>24700</v>
      </c>
      <c r="E17" s="5"/>
      <c r="F17" s="5"/>
      <c r="G17" s="5"/>
      <c r="H17" s="5"/>
      <c r="I17" s="5"/>
      <c r="J17" s="5"/>
      <c r="K17" s="5"/>
      <c r="L17" s="5"/>
      <c r="M17" s="5">
        <v>3</v>
      </c>
      <c r="N17" s="5">
        <f>950+950+950</f>
        <v>2850</v>
      </c>
      <c r="O17" s="5">
        <v>1</v>
      </c>
      <c r="P17" s="5">
        <v>45000</v>
      </c>
      <c r="Q17" s="5">
        <f t="shared" si="2"/>
        <v>72550</v>
      </c>
      <c r="R17" s="7">
        <v>150000</v>
      </c>
      <c r="S17" s="7">
        <f t="shared" si="3"/>
        <v>77450</v>
      </c>
      <c r="T17" s="8">
        <f t="shared" si="4"/>
        <v>0.48366666666666669</v>
      </c>
      <c r="U17" s="9"/>
    </row>
    <row r="18" spans="1:21" ht="36" customHeight="1">
      <c r="A18" s="2">
        <v>8</v>
      </c>
      <c r="B18" s="10" t="s">
        <v>32</v>
      </c>
      <c r="C18" s="5">
        <v>2</v>
      </c>
      <c r="D18" s="5">
        <f>1045+104370</f>
        <v>105415</v>
      </c>
      <c r="E18" s="5"/>
      <c r="F18" s="5"/>
      <c r="G18" s="5"/>
      <c r="H18" s="5"/>
      <c r="I18" s="5"/>
      <c r="J18" s="5"/>
      <c r="K18" s="5"/>
      <c r="L18" s="5"/>
      <c r="M18" s="5">
        <v>7</v>
      </c>
      <c r="N18" s="5">
        <f>950+1500+950+1500+1700+950+1500</f>
        <v>9050</v>
      </c>
      <c r="O18" s="5">
        <v>1</v>
      </c>
      <c r="P18" s="5">
        <v>108000</v>
      </c>
      <c r="Q18" s="5">
        <f t="shared" si="2"/>
        <v>222465</v>
      </c>
      <c r="R18" s="7">
        <v>150000</v>
      </c>
      <c r="S18" s="7">
        <f t="shared" si="3"/>
        <v>-72465</v>
      </c>
      <c r="T18" s="8">
        <f t="shared" si="4"/>
        <v>1.4831000000000001</v>
      </c>
      <c r="U18" s="9"/>
    </row>
    <row r="19" spans="1:21" ht="36" customHeight="1">
      <c r="A19" s="2">
        <v>9</v>
      </c>
      <c r="B19" s="10" t="s">
        <v>33</v>
      </c>
      <c r="C19" s="5">
        <v>1</v>
      </c>
      <c r="D19" s="5">
        <v>12760</v>
      </c>
      <c r="E19" s="5"/>
      <c r="F19" s="5"/>
      <c r="G19" s="5"/>
      <c r="H19" s="5"/>
      <c r="I19" s="5"/>
      <c r="J19" s="5"/>
      <c r="K19" s="5">
        <v>1</v>
      </c>
      <c r="L19" s="5">
        <v>43900</v>
      </c>
      <c r="M19" s="5">
        <v>7</v>
      </c>
      <c r="N19" s="5">
        <f>950+9300+15000+950+34650+950+86100</f>
        <v>147900</v>
      </c>
      <c r="O19" s="5">
        <v>2</v>
      </c>
      <c r="P19" s="5">
        <f>1200+49500</f>
        <v>50700</v>
      </c>
      <c r="Q19" s="5">
        <f t="shared" si="2"/>
        <v>255260</v>
      </c>
      <c r="R19" s="7">
        <v>150000</v>
      </c>
      <c r="S19" s="7">
        <f t="shared" si="3"/>
        <v>-105260</v>
      </c>
      <c r="T19" s="8">
        <f t="shared" si="4"/>
        <v>1.7017333333333333</v>
      </c>
      <c r="U19" s="9"/>
    </row>
    <row r="20" spans="1:21" ht="36" customHeight="1">
      <c r="A20" s="2">
        <v>10</v>
      </c>
      <c r="B20" s="10" t="s">
        <v>34</v>
      </c>
      <c r="C20" s="5">
        <v>3</v>
      </c>
      <c r="D20" s="5">
        <f>23760+7500+32200</f>
        <v>63460</v>
      </c>
      <c r="E20" s="5"/>
      <c r="F20" s="5"/>
      <c r="G20" s="5"/>
      <c r="H20" s="5"/>
      <c r="I20" s="5"/>
      <c r="J20" s="5"/>
      <c r="K20" s="5"/>
      <c r="L20" s="5"/>
      <c r="M20" s="5">
        <v>5</v>
      </c>
      <c r="N20" s="5">
        <f>81000+950+950+9975+950</f>
        <v>93825</v>
      </c>
      <c r="O20" s="5">
        <v>4</v>
      </c>
      <c r="P20" s="5">
        <f>12300+6000+1600+90000</f>
        <v>109900</v>
      </c>
      <c r="Q20" s="5">
        <f t="shared" si="2"/>
        <v>267185</v>
      </c>
      <c r="R20" s="7">
        <v>150000</v>
      </c>
      <c r="S20" s="7">
        <f t="shared" si="3"/>
        <v>-117185</v>
      </c>
      <c r="T20" s="8">
        <f t="shared" si="4"/>
        <v>1.7812333333333332</v>
      </c>
      <c r="U20" s="9"/>
    </row>
    <row r="21" spans="1:21" ht="36" customHeight="1">
      <c r="A21" s="2">
        <v>11</v>
      </c>
      <c r="B21" s="10" t="s">
        <v>35</v>
      </c>
      <c r="C21" s="5">
        <v>1</v>
      </c>
      <c r="D21" s="5">
        <v>6800</v>
      </c>
      <c r="E21" s="5"/>
      <c r="F21" s="5"/>
      <c r="G21" s="5"/>
      <c r="H21" s="5"/>
      <c r="I21" s="5"/>
      <c r="J21" s="5"/>
      <c r="K21" s="5"/>
      <c r="L21" s="5"/>
      <c r="M21" s="5">
        <v>2</v>
      </c>
      <c r="N21" s="5">
        <f>400+12600</f>
        <v>13000</v>
      </c>
      <c r="O21" s="5">
        <v>5</v>
      </c>
      <c r="P21" s="5">
        <f>19500+19500+45000+1500+19500</f>
        <v>105000</v>
      </c>
      <c r="Q21" s="5">
        <f t="shared" si="2"/>
        <v>124800</v>
      </c>
      <c r="R21" s="7">
        <v>150000</v>
      </c>
      <c r="S21" s="7">
        <f t="shared" si="3"/>
        <v>25200</v>
      </c>
      <c r="T21" s="8">
        <f t="shared" si="4"/>
        <v>0.83199999999999996</v>
      </c>
      <c r="U21" s="9"/>
    </row>
    <row r="22" spans="1:21" ht="36" customHeight="1">
      <c r="A22" s="2">
        <v>12</v>
      </c>
      <c r="B22" s="10" t="s">
        <v>36</v>
      </c>
      <c r="C22" s="5">
        <v>1</v>
      </c>
      <c r="D22" s="5">
        <v>89250</v>
      </c>
      <c r="E22" s="5"/>
      <c r="F22" s="5"/>
      <c r="G22" s="5"/>
      <c r="H22" s="5"/>
      <c r="I22" s="5"/>
      <c r="J22" s="5"/>
      <c r="K22" s="5"/>
      <c r="L22" s="5"/>
      <c r="M22" s="5">
        <v>6</v>
      </c>
      <c r="N22" s="5">
        <f>950+599+950+599+950+599</f>
        <v>4647</v>
      </c>
      <c r="O22" s="5">
        <v>2</v>
      </c>
      <c r="P22" s="5">
        <f>48844+98200</f>
        <v>147044</v>
      </c>
      <c r="Q22" s="5">
        <f t="shared" si="2"/>
        <v>240941</v>
      </c>
      <c r="R22" s="7">
        <v>150000</v>
      </c>
      <c r="S22" s="7">
        <f t="shared" si="3"/>
        <v>-90941</v>
      </c>
      <c r="T22" s="8">
        <f t="shared" si="4"/>
        <v>1.6062733333333334</v>
      </c>
      <c r="U22" s="9"/>
    </row>
    <row r="23" spans="1:21" ht="36" customHeight="1">
      <c r="A23" s="16" t="s">
        <v>37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1" customFormat="1" ht="36" customHeight="1">
      <c r="A24" s="22" t="s">
        <v>20</v>
      </c>
      <c r="B24" s="20"/>
      <c r="C24" s="20"/>
      <c r="D24" s="20"/>
      <c r="E24" s="20"/>
      <c r="F24" s="21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36" customHeight="1">
      <c r="A25" s="14" t="s">
        <v>21</v>
      </c>
      <c r="B25" s="14" t="s">
        <v>22</v>
      </c>
      <c r="C25" s="14" t="s">
        <v>3</v>
      </c>
      <c r="D25" s="15"/>
      <c r="E25" s="14" t="s">
        <v>4</v>
      </c>
      <c r="F25" s="15"/>
      <c r="G25" s="14" t="s">
        <v>5</v>
      </c>
      <c r="H25" s="15"/>
      <c r="I25" s="14" t="s">
        <v>6</v>
      </c>
      <c r="J25" s="15"/>
      <c r="K25" s="14" t="s">
        <v>7</v>
      </c>
      <c r="L25" s="15"/>
      <c r="M25" s="14" t="s">
        <v>8</v>
      </c>
      <c r="N25" s="15"/>
      <c r="O25" s="14" t="s">
        <v>9</v>
      </c>
      <c r="P25" s="15"/>
      <c r="Q25" s="17" t="s">
        <v>10</v>
      </c>
      <c r="R25" s="17" t="s">
        <v>11</v>
      </c>
      <c r="S25" s="17" t="s">
        <v>23</v>
      </c>
      <c r="T25" s="17" t="s">
        <v>24</v>
      </c>
      <c r="U25" s="14" t="s">
        <v>14</v>
      </c>
    </row>
    <row r="26" spans="1:21" ht="36" customHeight="1">
      <c r="A26" s="15"/>
      <c r="B26" s="15"/>
      <c r="C26" s="3" t="s">
        <v>15</v>
      </c>
      <c r="D26" s="4" t="s">
        <v>38</v>
      </c>
      <c r="E26" s="3" t="s">
        <v>15</v>
      </c>
      <c r="F26" s="4" t="s">
        <v>38</v>
      </c>
      <c r="G26" s="3" t="s">
        <v>15</v>
      </c>
      <c r="H26" s="4" t="s">
        <v>38</v>
      </c>
      <c r="I26" s="3" t="s">
        <v>15</v>
      </c>
      <c r="J26" s="4" t="s">
        <v>38</v>
      </c>
      <c r="K26" s="3" t="s">
        <v>15</v>
      </c>
      <c r="L26" s="4" t="s">
        <v>38</v>
      </c>
      <c r="M26" s="3" t="s">
        <v>15</v>
      </c>
      <c r="N26" s="4" t="s">
        <v>38</v>
      </c>
      <c r="O26" s="3" t="s">
        <v>15</v>
      </c>
      <c r="P26" s="4" t="s">
        <v>38</v>
      </c>
      <c r="Q26" s="18"/>
      <c r="R26" s="18"/>
      <c r="S26" s="18"/>
      <c r="T26" s="18"/>
      <c r="U26" s="15"/>
    </row>
    <row r="27" spans="1:21" ht="36" customHeight="1">
      <c r="A27" s="2">
        <v>13</v>
      </c>
      <c r="B27" s="10" t="s">
        <v>39</v>
      </c>
      <c r="C27" s="5">
        <v>5</v>
      </c>
      <c r="D27" s="5">
        <f>20800+27360+38400+149237+83580</f>
        <v>319377</v>
      </c>
      <c r="E27" s="5"/>
      <c r="F27" s="5"/>
      <c r="G27" s="5"/>
      <c r="H27" s="5"/>
      <c r="I27" s="5">
        <v>1</v>
      </c>
      <c r="J27" s="5">
        <v>18000</v>
      </c>
      <c r="K27" s="5"/>
      <c r="L27" s="5"/>
      <c r="M27" s="2">
        <v>6</v>
      </c>
      <c r="N27" s="5">
        <f>950+738+877+950+950+90149</f>
        <v>94614</v>
      </c>
      <c r="O27" s="2">
        <v>2</v>
      </c>
      <c r="P27" s="5">
        <f>13900+45000</f>
        <v>58900</v>
      </c>
      <c r="Q27" s="5">
        <f t="shared" ref="Q27:Q45" si="5">P27+N27+L27+J27+H27+F27+D27</f>
        <v>490891</v>
      </c>
      <c r="R27" s="7">
        <v>150000</v>
      </c>
      <c r="S27" s="7">
        <f t="shared" ref="S27:S45" si="6">R27-Q27</f>
        <v>-340891</v>
      </c>
      <c r="T27" s="8">
        <f t="shared" ref="T27:T45" si="7">Q27/R27</f>
        <v>3.2726066666666669</v>
      </c>
      <c r="U27" s="2"/>
    </row>
    <row r="28" spans="1:21" ht="36" customHeight="1">
      <c r="A28" s="2">
        <v>14</v>
      </c>
      <c r="B28" s="10" t="s">
        <v>40</v>
      </c>
      <c r="C28" s="2">
        <v>2</v>
      </c>
      <c r="D28" s="5">
        <f>78000+17900</f>
        <v>95900</v>
      </c>
      <c r="E28" s="5"/>
      <c r="F28" s="5"/>
      <c r="G28" s="5"/>
      <c r="H28" s="5"/>
      <c r="I28" s="2">
        <v>1</v>
      </c>
      <c r="J28" s="5">
        <v>12936</v>
      </c>
      <c r="K28" s="5"/>
      <c r="L28" s="5"/>
      <c r="M28" s="2">
        <v>8</v>
      </c>
      <c r="N28" s="5">
        <f>535+2500+599+6762+599+27800+47250+599</f>
        <v>86644</v>
      </c>
      <c r="O28" s="2">
        <v>5</v>
      </c>
      <c r="P28" s="5">
        <f>6400+19990+10600+19990+19990</f>
        <v>76970</v>
      </c>
      <c r="Q28" s="5">
        <f t="shared" si="5"/>
        <v>272450</v>
      </c>
      <c r="R28" s="7">
        <v>150000</v>
      </c>
      <c r="S28" s="7">
        <f t="shared" si="6"/>
        <v>-122450</v>
      </c>
      <c r="T28" s="8">
        <f t="shared" si="7"/>
        <v>1.8163333333333334</v>
      </c>
      <c r="U28" s="2"/>
    </row>
    <row r="29" spans="1:21" ht="36" customHeight="1">
      <c r="A29" s="2">
        <v>15</v>
      </c>
      <c r="B29" s="10" t="s">
        <v>41</v>
      </c>
      <c r="C29" s="2">
        <v>2</v>
      </c>
      <c r="D29" s="5">
        <f>50000+122500</f>
        <v>172500</v>
      </c>
      <c r="E29" s="5"/>
      <c r="F29" s="5"/>
      <c r="G29" s="5"/>
      <c r="H29" s="5"/>
      <c r="I29" s="2"/>
      <c r="J29" s="5"/>
      <c r="K29" s="5"/>
      <c r="L29" s="5"/>
      <c r="M29" s="2">
        <v>5</v>
      </c>
      <c r="N29" s="2">
        <f>7024+499+499+1025+499</f>
        <v>9546</v>
      </c>
      <c r="O29" s="5"/>
      <c r="P29" s="5"/>
      <c r="Q29" s="5">
        <f t="shared" si="5"/>
        <v>182046</v>
      </c>
      <c r="R29" s="7">
        <v>150000</v>
      </c>
      <c r="S29" s="7">
        <f t="shared" si="6"/>
        <v>-32046</v>
      </c>
      <c r="T29" s="8">
        <f t="shared" si="7"/>
        <v>1.2136400000000001</v>
      </c>
      <c r="U29" s="9"/>
    </row>
    <row r="30" spans="1:21" ht="36" customHeight="1">
      <c r="A30" s="2">
        <v>16</v>
      </c>
      <c r="B30" s="10" t="s">
        <v>42</v>
      </c>
      <c r="C30" s="2">
        <v>1</v>
      </c>
      <c r="D30" s="5">
        <v>83400</v>
      </c>
      <c r="E30" s="5"/>
      <c r="F30" s="5"/>
      <c r="G30" s="5"/>
      <c r="H30" s="5"/>
      <c r="I30" s="2">
        <v>1</v>
      </c>
      <c r="J30" s="5">
        <v>82960</v>
      </c>
      <c r="K30" s="2"/>
      <c r="L30" s="5"/>
      <c r="M30" s="2">
        <v>3</v>
      </c>
      <c r="N30" s="5">
        <f>599+599+599</f>
        <v>1797</v>
      </c>
      <c r="O30" s="5">
        <v>2</v>
      </c>
      <c r="P30" s="5">
        <f>12987+48000</f>
        <v>60987</v>
      </c>
      <c r="Q30" s="5">
        <f t="shared" si="5"/>
        <v>229144</v>
      </c>
      <c r="R30" s="7">
        <v>150000</v>
      </c>
      <c r="S30" s="7">
        <f t="shared" si="6"/>
        <v>-79144</v>
      </c>
      <c r="T30" s="8">
        <f t="shared" si="7"/>
        <v>1.5276266666666667</v>
      </c>
      <c r="U30" s="9"/>
    </row>
    <row r="31" spans="1:21" ht="36" customHeight="1">
      <c r="A31" s="2">
        <v>17</v>
      </c>
      <c r="B31" s="10" t="s">
        <v>43</v>
      </c>
      <c r="C31" s="5"/>
      <c r="D31" s="5"/>
      <c r="E31" s="5"/>
      <c r="F31" s="5"/>
      <c r="G31" s="5"/>
      <c r="H31" s="5"/>
      <c r="I31" s="2">
        <v>1</v>
      </c>
      <c r="J31" s="5">
        <v>107300</v>
      </c>
      <c r="K31" s="5"/>
      <c r="L31" s="5"/>
      <c r="M31" s="2">
        <v>4</v>
      </c>
      <c r="N31" s="2">
        <f>599+3310+599+599</f>
        <v>5107</v>
      </c>
      <c r="O31" s="5">
        <v>2</v>
      </c>
      <c r="P31" s="5">
        <f>2000+23900</f>
        <v>25900</v>
      </c>
      <c r="Q31" s="5">
        <f t="shared" si="5"/>
        <v>138307</v>
      </c>
      <c r="R31" s="7">
        <v>150000</v>
      </c>
      <c r="S31" s="7">
        <f t="shared" si="6"/>
        <v>11693</v>
      </c>
      <c r="T31" s="8">
        <f t="shared" si="7"/>
        <v>0.92204666666666668</v>
      </c>
      <c r="U31" s="9"/>
    </row>
    <row r="32" spans="1:21" ht="36" customHeight="1">
      <c r="A32" s="2">
        <v>18</v>
      </c>
      <c r="B32" s="10" t="s">
        <v>44</v>
      </c>
      <c r="C32" s="2">
        <v>1</v>
      </c>
      <c r="D32" s="5">
        <v>41400</v>
      </c>
      <c r="E32" s="5"/>
      <c r="F32" s="5"/>
      <c r="G32" s="5"/>
      <c r="H32" s="5"/>
      <c r="I32" s="5"/>
      <c r="J32" s="5"/>
      <c r="K32" s="5"/>
      <c r="L32" s="5"/>
      <c r="M32" s="2">
        <v>5</v>
      </c>
      <c r="N32" s="5">
        <f>950+57500+950+89069+950</f>
        <v>149419</v>
      </c>
      <c r="O32" s="5">
        <v>2</v>
      </c>
      <c r="P32" s="5">
        <f>2400+125000</f>
        <v>127400</v>
      </c>
      <c r="Q32" s="5">
        <f t="shared" si="5"/>
        <v>318219</v>
      </c>
      <c r="R32" s="7">
        <v>150000</v>
      </c>
      <c r="S32" s="7">
        <f t="shared" si="6"/>
        <v>-168219</v>
      </c>
      <c r="T32" s="8">
        <f t="shared" si="7"/>
        <v>2.1214599999999999</v>
      </c>
      <c r="U32" s="9"/>
    </row>
    <row r="33" spans="1:21" ht="36" customHeight="1">
      <c r="A33" s="2">
        <v>19</v>
      </c>
      <c r="B33" s="10" t="s">
        <v>45</v>
      </c>
      <c r="C33" s="2"/>
      <c r="D33" s="5"/>
      <c r="E33" s="5"/>
      <c r="F33" s="5"/>
      <c r="G33" s="5"/>
      <c r="H33" s="5"/>
      <c r="I33" s="2"/>
      <c r="J33" s="5"/>
      <c r="K33" s="5"/>
      <c r="L33" s="5"/>
      <c r="M33" s="2">
        <v>3</v>
      </c>
      <c r="N33" s="2">
        <f>950+950+950</f>
        <v>2850</v>
      </c>
      <c r="O33" s="5">
        <v>1</v>
      </c>
      <c r="P33" s="5">
        <v>105000</v>
      </c>
      <c r="Q33" s="5">
        <f t="shared" si="5"/>
        <v>107850</v>
      </c>
      <c r="R33" s="7">
        <v>150000</v>
      </c>
      <c r="S33" s="7">
        <f t="shared" si="6"/>
        <v>42150</v>
      </c>
      <c r="T33" s="8">
        <f t="shared" si="7"/>
        <v>0.71899999999999997</v>
      </c>
      <c r="U33" s="9"/>
    </row>
    <row r="34" spans="1:21" ht="36" customHeight="1">
      <c r="A34" s="2">
        <v>20</v>
      </c>
      <c r="B34" s="10" t="s">
        <v>46</v>
      </c>
      <c r="C34" s="5">
        <v>3</v>
      </c>
      <c r="D34" s="5">
        <f>6800+907+22000</f>
        <v>29707</v>
      </c>
      <c r="E34" s="5"/>
      <c r="F34" s="5"/>
      <c r="G34" s="5"/>
      <c r="H34" s="5"/>
      <c r="I34" s="2">
        <v>1</v>
      </c>
      <c r="J34" s="5">
        <v>35910</v>
      </c>
      <c r="K34" s="5"/>
      <c r="L34" s="5"/>
      <c r="M34" s="2">
        <v>5</v>
      </c>
      <c r="N34" s="5">
        <f>1153+599+3045+599+599</f>
        <v>5995</v>
      </c>
      <c r="O34" s="5">
        <v>4</v>
      </c>
      <c r="P34" s="5">
        <f>6300+10500+13650+2000</f>
        <v>32450</v>
      </c>
      <c r="Q34" s="5">
        <f t="shared" si="5"/>
        <v>104062</v>
      </c>
      <c r="R34" s="7">
        <v>150000</v>
      </c>
      <c r="S34" s="7">
        <f t="shared" si="6"/>
        <v>45938</v>
      </c>
      <c r="T34" s="8">
        <f t="shared" si="7"/>
        <v>0.69374666666666662</v>
      </c>
      <c r="U34" s="9"/>
    </row>
    <row r="35" spans="1:21" ht="36" customHeight="1">
      <c r="A35" s="2">
        <v>21</v>
      </c>
      <c r="B35" s="10" t="s">
        <v>47</v>
      </c>
      <c r="C35" s="2"/>
      <c r="D35" s="5"/>
      <c r="E35" s="5"/>
      <c r="F35" s="5"/>
      <c r="G35" s="5"/>
      <c r="H35" s="5"/>
      <c r="I35" s="2"/>
      <c r="J35" s="5"/>
      <c r="K35" s="5"/>
      <c r="L35" s="5"/>
      <c r="M35" s="5">
        <v>8</v>
      </c>
      <c r="N35" s="5">
        <f>484+950+599+950+599+16000+950+599</f>
        <v>21131</v>
      </c>
      <c r="O35" s="5">
        <v>1</v>
      </c>
      <c r="P35" s="5">
        <v>118600</v>
      </c>
      <c r="Q35" s="5">
        <f t="shared" si="5"/>
        <v>139731</v>
      </c>
      <c r="R35" s="7">
        <v>150000</v>
      </c>
      <c r="S35" s="7">
        <f t="shared" si="6"/>
        <v>10269</v>
      </c>
      <c r="T35" s="8">
        <f t="shared" si="7"/>
        <v>0.93154000000000003</v>
      </c>
      <c r="U35" s="9"/>
    </row>
    <row r="36" spans="1:21" ht="36" customHeight="1">
      <c r="A36" s="2">
        <v>22</v>
      </c>
      <c r="B36" s="10" t="s">
        <v>48</v>
      </c>
      <c r="C36" s="2">
        <v>1</v>
      </c>
      <c r="D36" s="5">
        <v>34650</v>
      </c>
      <c r="E36" s="5"/>
      <c r="F36" s="5"/>
      <c r="G36" s="5">
        <v>1</v>
      </c>
      <c r="H36" s="5">
        <v>24000</v>
      </c>
      <c r="I36" s="2"/>
      <c r="J36" s="5"/>
      <c r="K36" s="5"/>
      <c r="L36" s="5"/>
      <c r="M36" s="5">
        <v>4</v>
      </c>
      <c r="N36" s="5">
        <f>600+499+499+499</f>
        <v>2097</v>
      </c>
      <c r="O36" s="5">
        <v>2</v>
      </c>
      <c r="P36" s="5">
        <f>2400+45000</f>
        <v>47400</v>
      </c>
      <c r="Q36" s="5">
        <f t="shared" si="5"/>
        <v>108147</v>
      </c>
      <c r="R36" s="7">
        <v>150000</v>
      </c>
      <c r="S36" s="7">
        <f t="shared" si="6"/>
        <v>41853</v>
      </c>
      <c r="T36" s="8">
        <f t="shared" si="7"/>
        <v>0.72097999999999995</v>
      </c>
      <c r="U36" s="9"/>
    </row>
    <row r="37" spans="1:21" ht="36" customHeight="1">
      <c r="A37" s="2">
        <v>23</v>
      </c>
      <c r="B37" s="10" t="s">
        <v>49</v>
      </c>
      <c r="C37" s="2">
        <v>2</v>
      </c>
      <c r="D37" s="5">
        <f>9500+4500</f>
        <v>14000</v>
      </c>
      <c r="E37" s="5"/>
      <c r="F37" s="5"/>
      <c r="G37" s="5"/>
      <c r="H37" s="5"/>
      <c r="I37" s="5"/>
      <c r="J37" s="5"/>
      <c r="K37" s="5"/>
      <c r="L37" s="5"/>
      <c r="M37" s="5">
        <v>5</v>
      </c>
      <c r="N37" s="5">
        <f>950+18720+36122+950+950</f>
        <v>57692</v>
      </c>
      <c r="O37" s="5">
        <v>3</v>
      </c>
      <c r="P37" s="5">
        <f>19990+19990+19990</f>
        <v>59970</v>
      </c>
      <c r="Q37" s="5">
        <f t="shared" si="5"/>
        <v>131662</v>
      </c>
      <c r="R37" s="7">
        <v>150000</v>
      </c>
      <c r="S37" s="7">
        <f t="shared" si="6"/>
        <v>18338</v>
      </c>
      <c r="T37" s="8">
        <f t="shared" si="7"/>
        <v>0.87774666666666668</v>
      </c>
      <c r="U37" s="9"/>
    </row>
    <row r="38" spans="1:21" ht="36" customHeight="1">
      <c r="A38" s="2">
        <v>24</v>
      </c>
      <c r="B38" s="10" t="s">
        <v>50</v>
      </c>
      <c r="C38" s="2">
        <v>2</v>
      </c>
      <c r="D38" s="5">
        <f>8155+99100</f>
        <v>107255</v>
      </c>
      <c r="E38" s="5"/>
      <c r="F38" s="5"/>
      <c r="G38" s="5"/>
      <c r="H38" s="5"/>
      <c r="I38" s="2"/>
      <c r="J38" s="5"/>
      <c r="K38" s="5"/>
      <c r="L38" s="5"/>
      <c r="M38" s="5">
        <v>6</v>
      </c>
      <c r="N38" s="5">
        <f>950+599+950+599+950+599</f>
        <v>4647</v>
      </c>
      <c r="O38" s="5"/>
      <c r="P38" s="5"/>
      <c r="Q38" s="5">
        <f t="shared" si="5"/>
        <v>111902</v>
      </c>
      <c r="R38" s="7">
        <v>150000</v>
      </c>
      <c r="S38" s="7">
        <f t="shared" si="6"/>
        <v>38098</v>
      </c>
      <c r="T38" s="8">
        <f t="shared" si="7"/>
        <v>0.74601333333333331</v>
      </c>
      <c r="U38" s="9"/>
    </row>
    <row r="39" spans="1:21" ht="36" customHeight="1">
      <c r="A39" s="2">
        <v>25</v>
      </c>
      <c r="B39" s="10" t="s">
        <v>51</v>
      </c>
      <c r="C39" s="2">
        <v>3</v>
      </c>
      <c r="D39" s="5">
        <f>24000+92000+14350</f>
        <v>130350</v>
      </c>
      <c r="E39" s="5"/>
      <c r="F39" s="5"/>
      <c r="G39" s="5"/>
      <c r="H39" s="5"/>
      <c r="I39" s="5">
        <v>2</v>
      </c>
      <c r="J39" s="5">
        <f>111000+144300</f>
        <v>255300</v>
      </c>
      <c r="K39" s="5"/>
      <c r="L39" s="5"/>
      <c r="M39" s="5">
        <v>1</v>
      </c>
      <c r="N39" s="5">
        <v>4048</v>
      </c>
      <c r="O39" s="5">
        <v>1</v>
      </c>
      <c r="P39" s="5">
        <v>25000</v>
      </c>
      <c r="Q39" s="5">
        <f t="shared" si="5"/>
        <v>414698</v>
      </c>
      <c r="R39" s="7">
        <v>150000</v>
      </c>
      <c r="S39" s="7">
        <f t="shared" si="6"/>
        <v>-264698</v>
      </c>
      <c r="T39" s="8">
        <f t="shared" si="7"/>
        <v>2.7646533333333334</v>
      </c>
      <c r="U39" s="9"/>
    </row>
    <row r="40" spans="1:21" ht="36" customHeight="1">
      <c r="A40" s="2">
        <v>26</v>
      </c>
      <c r="B40" s="10" t="s">
        <v>52</v>
      </c>
      <c r="C40" s="2">
        <v>3</v>
      </c>
      <c r="D40" s="5">
        <f>149000+15500+7080</f>
        <v>171580</v>
      </c>
      <c r="E40" s="5"/>
      <c r="F40" s="5"/>
      <c r="G40" s="5"/>
      <c r="H40" s="5"/>
      <c r="I40" s="2"/>
      <c r="J40" s="5"/>
      <c r="K40" s="5"/>
      <c r="L40" s="5"/>
      <c r="M40" s="5">
        <v>7</v>
      </c>
      <c r="N40" s="5">
        <f>950+599+950+599+23800+950+599</f>
        <v>28447</v>
      </c>
      <c r="O40" s="5">
        <v>2</v>
      </c>
      <c r="P40" s="5">
        <f>23300+4500</f>
        <v>27800</v>
      </c>
      <c r="Q40" s="5">
        <f t="shared" si="5"/>
        <v>227827</v>
      </c>
      <c r="R40" s="7">
        <v>150000</v>
      </c>
      <c r="S40" s="7">
        <f t="shared" si="6"/>
        <v>-77827</v>
      </c>
      <c r="T40" s="8">
        <f t="shared" si="7"/>
        <v>1.5188466666666667</v>
      </c>
      <c r="U40" s="9"/>
    </row>
    <row r="41" spans="1:21" ht="36" customHeight="1">
      <c r="A41" s="2">
        <v>27</v>
      </c>
      <c r="B41" s="10" t="s">
        <v>53</v>
      </c>
      <c r="C41" s="2">
        <v>1</v>
      </c>
      <c r="D41" s="5">
        <v>105000</v>
      </c>
      <c r="E41" s="5"/>
      <c r="F41" s="5"/>
      <c r="G41" s="5"/>
      <c r="H41" s="5"/>
      <c r="I41" s="5"/>
      <c r="J41" s="5"/>
      <c r="K41" s="5"/>
      <c r="L41" s="5"/>
      <c r="M41" s="5">
        <v>3</v>
      </c>
      <c r="N41" s="5">
        <f>94500+34650+36122</f>
        <v>165272</v>
      </c>
      <c r="O41" s="5">
        <v>1</v>
      </c>
      <c r="P41" s="5">
        <v>45000</v>
      </c>
      <c r="Q41" s="5">
        <f t="shared" si="5"/>
        <v>315272</v>
      </c>
      <c r="R41" s="7">
        <v>150000</v>
      </c>
      <c r="S41" s="7">
        <f t="shared" si="6"/>
        <v>-165272</v>
      </c>
      <c r="T41" s="8">
        <f t="shared" si="7"/>
        <v>2.1018133333333333</v>
      </c>
      <c r="U41" s="9"/>
    </row>
    <row r="42" spans="1:21" ht="36" customHeight="1">
      <c r="A42" s="2">
        <v>28</v>
      </c>
      <c r="B42" s="10" t="s">
        <v>54</v>
      </c>
      <c r="C42" s="2"/>
      <c r="D42" s="5"/>
      <c r="E42" s="5"/>
      <c r="F42" s="5"/>
      <c r="G42" s="5"/>
      <c r="H42" s="5"/>
      <c r="I42" s="2">
        <v>1</v>
      </c>
      <c r="J42" s="5">
        <v>119310</v>
      </c>
      <c r="K42" s="5"/>
      <c r="L42" s="5"/>
      <c r="M42" s="5">
        <v>6</v>
      </c>
      <c r="N42" s="5">
        <f>950+1500+950+1500+950+1500</f>
        <v>7350</v>
      </c>
      <c r="O42" s="5">
        <v>1</v>
      </c>
      <c r="P42" s="5">
        <v>45000</v>
      </c>
      <c r="Q42" s="5">
        <f t="shared" si="5"/>
        <v>171660</v>
      </c>
      <c r="R42" s="7">
        <v>150000</v>
      </c>
      <c r="S42" s="7">
        <f t="shared" si="6"/>
        <v>-21660</v>
      </c>
      <c r="T42" s="8">
        <f t="shared" si="7"/>
        <v>1.1444000000000001</v>
      </c>
      <c r="U42" s="9"/>
    </row>
    <row r="43" spans="1:21" ht="36" customHeight="1">
      <c r="A43" s="2">
        <v>29</v>
      </c>
      <c r="B43" s="10" t="s">
        <v>55</v>
      </c>
      <c r="C43" s="2">
        <v>1</v>
      </c>
      <c r="D43" s="5">
        <v>77700</v>
      </c>
      <c r="E43" s="5"/>
      <c r="F43" s="5"/>
      <c r="G43" s="5"/>
      <c r="H43" s="5"/>
      <c r="I43" s="2"/>
      <c r="J43" s="5"/>
      <c r="K43" s="5"/>
      <c r="L43" s="5"/>
      <c r="M43" s="5">
        <v>4</v>
      </c>
      <c r="N43" s="5">
        <f>1500+1500+1500+1500</f>
        <v>6000</v>
      </c>
      <c r="O43" s="5">
        <v>3</v>
      </c>
      <c r="P43" s="5">
        <f>19900+19900+19900</f>
        <v>59700</v>
      </c>
      <c r="Q43" s="5">
        <f t="shared" si="5"/>
        <v>143400</v>
      </c>
      <c r="R43" s="7">
        <v>150000</v>
      </c>
      <c r="S43" s="7">
        <f t="shared" si="6"/>
        <v>6600</v>
      </c>
      <c r="T43" s="8">
        <f t="shared" si="7"/>
        <v>0.95599999999999996</v>
      </c>
      <c r="U43" s="9"/>
    </row>
    <row r="44" spans="1:21" ht="36" customHeight="1">
      <c r="A44" s="2">
        <v>30</v>
      </c>
      <c r="B44" s="10" t="s">
        <v>56</v>
      </c>
      <c r="C44" s="5">
        <v>3</v>
      </c>
      <c r="D44" s="5">
        <f>30210+149460+120120</f>
        <v>299790</v>
      </c>
      <c r="E44" s="5"/>
      <c r="F44" s="5"/>
      <c r="G44" s="5"/>
      <c r="H44" s="5"/>
      <c r="I44" s="2"/>
      <c r="J44" s="5"/>
      <c r="K44" s="5"/>
      <c r="L44" s="5"/>
      <c r="M44" s="5">
        <v>8</v>
      </c>
      <c r="N44" s="5">
        <f>34650+950+798+950+399+42160+950+798</f>
        <v>81655</v>
      </c>
      <c r="O44" s="5">
        <v>1</v>
      </c>
      <c r="P44" s="5">
        <v>60000</v>
      </c>
      <c r="Q44" s="5">
        <f t="shared" si="5"/>
        <v>441445</v>
      </c>
      <c r="R44" s="7">
        <v>150000</v>
      </c>
      <c r="S44" s="7">
        <f t="shared" si="6"/>
        <v>-291445</v>
      </c>
      <c r="T44" s="8">
        <f t="shared" si="7"/>
        <v>2.9429666666666665</v>
      </c>
      <c r="U44" s="9"/>
    </row>
    <row r="45" spans="1:21" ht="36" customHeight="1">
      <c r="A45" s="2">
        <v>31</v>
      </c>
      <c r="B45" s="10" t="s">
        <v>57</v>
      </c>
      <c r="C45" s="5">
        <v>2</v>
      </c>
      <c r="D45" s="5">
        <f>12000+5250</f>
        <v>17250</v>
      </c>
      <c r="E45" s="5"/>
      <c r="F45" s="5"/>
      <c r="G45" s="5"/>
      <c r="H45" s="5"/>
      <c r="I45" s="5"/>
      <c r="J45" s="5"/>
      <c r="K45" s="5"/>
      <c r="L45" s="5"/>
      <c r="M45" s="5">
        <v>5</v>
      </c>
      <c r="N45" s="5">
        <f>1500+1500+6400+1500+1500</f>
        <v>12400</v>
      </c>
      <c r="O45" s="5">
        <v>1</v>
      </c>
      <c r="P45" s="5">
        <v>72000</v>
      </c>
      <c r="Q45" s="5">
        <f t="shared" si="5"/>
        <v>101650</v>
      </c>
      <c r="R45" s="7">
        <v>150000</v>
      </c>
      <c r="S45" s="7">
        <f t="shared" si="6"/>
        <v>48350</v>
      </c>
      <c r="T45" s="8">
        <f t="shared" si="7"/>
        <v>0.67766666666666664</v>
      </c>
      <c r="U45" s="9"/>
    </row>
    <row r="46" spans="1:21" ht="31.9" customHeight="1">
      <c r="A46" s="16" t="s">
        <v>37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32.450000000000003" customHeight="1">
      <c r="A47" s="19" t="s">
        <v>58</v>
      </c>
      <c r="B47" s="20"/>
      <c r="C47" s="20"/>
      <c r="D47" s="20"/>
      <c r="E47" s="20"/>
      <c r="F47" s="21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35.1" customHeight="1">
      <c r="A48" s="14" t="s">
        <v>21</v>
      </c>
      <c r="B48" s="14" t="s">
        <v>22</v>
      </c>
      <c r="C48" s="14" t="s">
        <v>3</v>
      </c>
      <c r="D48" s="15"/>
      <c r="E48" s="14" t="s">
        <v>4</v>
      </c>
      <c r="F48" s="15"/>
      <c r="G48" s="14" t="s">
        <v>5</v>
      </c>
      <c r="H48" s="15"/>
      <c r="I48" s="14" t="s">
        <v>6</v>
      </c>
      <c r="J48" s="15"/>
      <c r="K48" s="14" t="s">
        <v>7</v>
      </c>
      <c r="L48" s="15"/>
      <c r="M48" s="14" t="s">
        <v>8</v>
      </c>
      <c r="N48" s="15"/>
      <c r="O48" s="14" t="s">
        <v>9</v>
      </c>
      <c r="P48" s="15"/>
      <c r="Q48" s="17" t="s">
        <v>10</v>
      </c>
      <c r="R48" s="17" t="s">
        <v>11</v>
      </c>
      <c r="S48" s="17" t="s">
        <v>23</v>
      </c>
      <c r="T48" s="17" t="s">
        <v>24</v>
      </c>
      <c r="U48" s="14" t="s">
        <v>14</v>
      </c>
    </row>
    <row r="49" spans="1:21" ht="35.1" customHeight="1">
      <c r="A49" s="15"/>
      <c r="B49" s="15"/>
      <c r="C49" s="3" t="s">
        <v>15</v>
      </c>
      <c r="D49" s="4" t="s">
        <v>38</v>
      </c>
      <c r="E49" s="3" t="s">
        <v>15</v>
      </c>
      <c r="F49" s="4" t="s">
        <v>38</v>
      </c>
      <c r="G49" s="3" t="s">
        <v>15</v>
      </c>
      <c r="H49" s="4" t="s">
        <v>38</v>
      </c>
      <c r="I49" s="3" t="s">
        <v>15</v>
      </c>
      <c r="J49" s="4" t="s">
        <v>38</v>
      </c>
      <c r="K49" s="3" t="s">
        <v>15</v>
      </c>
      <c r="L49" s="4" t="s">
        <v>38</v>
      </c>
      <c r="M49" s="3" t="s">
        <v>15</v>
      </c>
      <c r="N49" s="4" t="s">
        <v>38</v>
      </c>
      <c r="O49" s="3" t="s">
        <v>15</v>
      </c>
      <c r="P49" s="4" t="s">
        <v>38</v>
      </c>
      <c r="Q49" s="18"/>
      <c r="R49" s="18"/>
      <c r="S49" s="18"/>
      <c r="T49" s="18"/>
      <c r="U49" s="15"/>
    </row>
    <row r="50" spans="1:21" ht="35.1" customHeight="1">
      <c r="A50" s="2">
        <v>32</v>
      </c>
      <c r="B50" s="10" t="s">
        <v>59</v>
      </c>
      <c r="C50" s="7">
        <v>1</v>
      </c>
      <c r="D50" s="7">
        <v>22200</v>
      </c>
      <c r="E50" s="7"/>
      <c r="F50" s="7"/>
      <c r="G50" s="7"/>
      <c r="H50" s="7"/>
      <c r="I50" s="7"/>
      <c r="J50" s="7"/>
      <c r="K50" s="7"/>
      <c r="L50" s="7"/>
      <c r="M50" s="7">
        <v>4</v>
      </c>
      <c r="N50" s="7">
        <f>950+15300+950+950</f>
        <v>18150</v>
      </c>
      <c r="O50" s="7">
        <v>2</v>
      </c>
      <c r="P50" s="7">
        <f>36000+89800</f>
        <v>125800</v>
      </c>
      <c r="Q50" s="7">
        <f t="shared" ref="Q50:Q57" si="8">P50+N50+L50+J50+H50+F50+D50</f>
        <v>166150</v>
      </c>
      <c r="R50" s="7">
        <v>150000</v>
      </c>
      <c r="S50" s="7">
        <f t="shared" ref="S50:S57" si="9">R50-Q50</f>
        <v>-16150</v>
      </c>
      <c r="T50" s="8">
        <f t="shared" ref="T50:T57" si="10">Q50/R50</f>
        <v>1.1076666666666666</v>
      </c>
      <c r="U50" s="2"/>
    </row>
    <row r="51" spans="1:21" ht="35.1" customHeight="1">
      <c r="A51" s="2">
        <v>33</v>
      </c>
      <c r="B51" s="10" t="s">
        <v>60</v>
      </c>
      <c r="C51" s="7">
        <v>1</v>
      </c>
      <c r="D51" s="7">
        <v>13000</v>
      </c>
      <c r="E51" s="7"/>
      <c r="F51" s="7"/>
      <c r="G51" s="7"/>
      <c r="H51" s="7"/>
      <c r="I51" s="7"/>
      <c r="J51" s="7"/>
      <c r="K51" s="7"/>
      <c r="L51" s="7"/>
      <c r="M51" s="7">
        <v>7</v>
      </c>
      <c r="N51" s="7">
        <f>950+599+600+950+599+950+599</f>
        <v>5247</v>
      </c>
      <c r="O51" s="7">
        <v>1</v>
      </c>
      <c r="P51" s="7">
        <v>84413</v>
      </c>
      <c r="Q51" s="7">
        <f t="shared" si="8"/>
        <v>102660</v>
      </c>
      <c r="R51" s="7">
        <v>150000</v>
      </c>
      <c r="S51" s="7">
        <f t="shared" si="9"/>
        <v>47340</v>
      </c>
      <c r="T51" s="8">
        <f t="shared" si="10"/>
        <v>0.68440000000000001</v>
      </c>
      <c r="U51" s="2"/>
    </row>
    <row r="52" spans="1:21" ht="35.1" customHeight="1">
      <c r="A52" s="2">
        <v>34</v>
      </c>
      <c r="B52" s="10" t="s">
        <v>61</v>
      </c>
      <c r="C52" s="7">
        <v>2</v>
      </c>
      <c r="D52" s="7">
        <f>300+1200</f>
        <v>1500</v>
      </c>
      <c r="E52" s="7"/>
      <c r="F52" s="7"/>
      <c r="G52" s="7"/>
      <c r="H52" s="7"/>
      <c r="I52" s="7">
        <v>1</v>
      </c>
      <c r="J52" s="7">
        <v>6550</v>
      </c>
      <c r="K52" s="7"/>
      <c r="L52" s="7"/>
      <c r="M52" s="7">
        <v>7</v>
      </c>
      <c r="N52" s="7">
        <f>950+599+950+599+950+850+599</f>
        <v>5497</v>
      </c>
      <c r="O52" s="7">
        <v>2</v>
      </c>
      <c r="P52" s="7">
        <f>126000+2400</f>
        <v>128400</v>
      </c>
      <c r="Q52" s="7">
        <f t="shared" si="8"/>
        <v>141947</v>
      </c>
      <c r="R52" s="7">
        <v>150000</v>
      </c>
      <c r="S52" s="7">
        <f t="shared" si="9"/>
        <v>8053</v>
      </c>
      <c r="T52" s="8">
        <f t="shared" si="10"/>
        <v>0.94631333333333334</v>
      </c>
      <c r="U52" s="2"/>
    </row>
    <row r="53" spans="1:21" ht="35.1" customHeight="1">
      <c r="A53" s="2">
        <v>35</v>
      </c>
      <c r="B53" s="10" t="s">
        <v>62</v>
      </c>
      <c r="C53" s="7">
        <v>5</v>
      </c>
      <c r="D53" s="7">
        <f>8069+19962+5000+62800+37100</f>
        <v>132931</v>
      </c>
      <c r="E53" s="7"/>
      <c r="F53" s="7"/>
      <c r="G53" s="7"/>
      <c r="H53" s="7"/>
      <c r="I53" s="7"/>
      <c r="J53" s="7"/>
      <c r="K53" s="7"/>
      <c r="L53" s="7"/>
      <c r="M53" s="7">
        <v>8</v>
      </c>
      <c r="N53" s="7">
        <f>950+599+7246+950+599+7985+950+599</f>
        <v>19878</v>
      </c>
      <c r="O53" s="7"/>
      <c r="P53" s="7"/>
      <c r="Q53" s="7">
        <f t="shared" si="8"/>
        <v>152809</v>
      </c>
      <c r="R53" s="7">
        <v>150000</v>
      </c>
      <c r="S53" s="7">
        <f t="shared" si="9"/>
        <v>-2809</v>
      </c>
      <c r="T53" s="8">
        <f t="shared" si="10"/>
        <v>1.0187266666666666</v>
      </c>
      <c r="U53" s="12"/>
    </row>
    <row r="54" spans="1:21" ht="35.1" customHeight="1">
      <c r="A54" s="2">
        <v>36</v>
      </c>
      <c r="B54" s="10" t="s">
        <v>63</v>
      </c>
      <c r="C54" s="7">
        <v>1</v>
      </c>
      <c r="D54" s="7">
        <v>6300</v>
      </c>
      <c r="E54" s="7"/>
      <c r="F54" s="7"/>
      <c r="G54" s="7"/>
      <c r="H54" s="7"/>
      <c r="I54" s="7"/>
      <c r="J54" s="7"/>
      <c r="K54" s="7"/>
      <c r="L54" s="7"/>
      <c r="M54" s="7">
        <v>7</v>
      </c>
      <c r="N54" s="7">
        <f>950+599+45000+950+599+950+599</f>
        <v>49647</v>
      </c>
      <c r="O54" s="7">
        <v>1</v>
      </c>
      <c r="P54" s="7">
        <v>72000</v>
      </c>
      <c r="Q54" s="7">
        <f t="shared" si="8"/>
        <v>127947</v>
      </c>
      <c r="R54" s="7">
        <v>150000</v>
      </c>
      <c r="S54" s="7">
        <f t="shared" si="9"/>
        <v>22053</v>
      </c>
      <c r="T54" s="8">
        <f t="shared" si="10"/>
        <v>0.85297999999999996</v>
      </c>
      <c r="U54" s="12"/>
    </row>
    <row r="55" spans="1:21" ht="35.1" customHeight="1">
      <c r="A55" s="2">
        <v>37</v>
      </c>
      <c r="B55" s="10" t="s">
        <v>64</v>
      </c>
      <c r="C55" s="7">
        <v>2</v>
      </c>
      <c r="D55" s="7">
        <f>19950+76500</f>
        <v>96450</v>
      </c>
      <c r="E55" s="7"/>
      <c r="F55" s="7"/>
      <c r="G55" s="7"/>
      <c r="H55" s="7"/>
      <c r="I55" s="7">
        <v>1</v>
      </c>
      <c r="J55" s="7">
        <v>27000</v>
      </c>
      <c r="K55" s="7"/>
      <c r="L55" s="7"/>
      <c r="M55" s="7">
        <v>3</v>
      </c>
      <c r="N55" s="7">
        <f>599+599+599</f>
        <v>1797</v>
      </c>
      <c r="O55" s="7">
        <v>2</v>
      </c>
      <c r="P55" s="7">
        <f>76000+79000</f>
        <v>155000</v>
      </c>
      <c r="Q55" s="7">
        <f t="shared" si="8"/>
        <v>280247</v>
      </c>
      <c r="R55" s="7">
        <v>150000</v>
      </c>
      <c r="S55" s="7">
        <f t="shared" si="9"/>
        <v>-130247</v>
      </c>
      <c r="T55" s="8">
        <f t="shared" si="10"/>
        <v>1.8683133333333333</v>
      </c>
      <c r="U55" s="12"/>
    </row>
    <row r="56" spans="1:21" ht="35.1" customHeight="1">
      <c r="A56" s="2">
        <v>38</v>
      </c>
      <c r="B56" s="10" t="s">
        <v>65</v>
      </c>
      <c r="C56" s="7">
        <v>1</v>
      </c>
      <c r="D56" s="7">
        <v>94185</v>
      </c>
      <c r="E56" s="7">
        <v>1</v>
      </c>
      <c r="F56" s="7">
        <v>4800</v>
      </c>
      <c r="G56" s="7"/>
      <c r="H56" s="7"/>
      <c r="I56" s="7"/>
      <c r="J56" s="7"/>
      <c r="K56" s="7"/>
      <c r="L56" s="7"/>
      <c r="M56" s="7"/>
      <c r="N56" s="7"/>
      <c r="O56" s="7">
        <v>1</v>
      </c>
      <c r="P56" s="7">
        <v>2600</v>
      </c>
      <c r="Q56" s="7">
        <f t="shared" si="8"/>
        <v>101585</v>
      </c>
      <c r="R56" s="7">
        <v>150000</v>
      </c>
      <c r="S56" s="7">
        <f t="shared" si="9"/>
        <v>48415</v>
      </c>
      <c r="T56" s="8">
        <f t="shared" si="10"/>
        <v>0.67723333333333335</v>
      </c>
      <c r="U56" s="12"/>
    </row>
    <row r="57" spans="1:21" ht="35.1" customHeight="1">
      <c r="A57" s="2">
        <v>39</v>
      </c>
      <c r="B57" s="10" t="s">
        <v>66</v>
      </c>
      <c r="C57" s="7">
        <v>5</v>
      </c>
      <c r="D57" s="7">
        <f>14200+16850+11290+44100+33600</f>
        <v>120040</v>
      </c>
      <c r="E57" s="7"/>
      <c r="F57" s="7"/>
      <c r="G57" s="7"/>
      <c r="H57" s="7"/>
      <c r="I57" s="7"/>
      <c r="J57" s="7"/>
      <c r="K57" s="7"/>
      <c r="L57" s="7"/>
      <c r="M57" s="7">
        <v>7</v>
      </c>
      <c r="N57" s="7">
        <f>950+599+950+599+21365+950+599</f>
        <v>26012</v>
      </c>
      <c r="O57" s="7">
        <v>1</v>
      </c>
      <c r="P57" s="7">
        <v>36000</v>
      </c>
      <c r="Q57" s="7">
        <f t="shared" si="8"/>
        <v>182052</v>
      </c>
      <c r="R57" s="7">
        <v>150000</v>
      </c>
      <c r="S57" s="7">
        <f t="shared" si="9"/>
        <v>-32052</v>
      </c>
      <c r="T57" s="8">
        <f t="shared" si="10"/>
        <v>1.2136800000000001</v>
      </c>
      <c r="U57" s="12"/>
    </row>
    <row r="58" spans="1:21" ht="36" customHeight="1">
      <c r="A58" s="2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2"/>
    </row>
    <row r="59" spans="1:21" ht="36" customHeight="1">
      <c r="A59" s="2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2"/>
    </row>
    <row r="60" spans="1:21" ht="36" customHeight="1">
      <c r="A60" s="2"/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2"/>
    </row>
    <row r="61" spans="1:21" ht="36" customHeight="1">
      <c r="A61" s="2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2"/>
    </row>
    <row r="62" spans="1:21" ht="36" customHeight="1">
      <c r="A62" s="2"/>
      <c r="B62" s="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2"/>
    </row>
    <row r="63" spans="1:21" ht="36" customHeight="1">
      <c r="A63" s="2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2"/>
    </row>
    <row r="64" spans="1:21" ht="36" customHeight="1">
      <c r="A64" s="2"/>
      <c r="B64" s="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2"/>
    </row>
    <row r="65" spans="1:21" ht="36" customHeight="1">
      <c r="A65" s="2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2"/>
    </row>
    <row r="66" spans="1:21" ht="36" customHeight="1">
      <c r="A66" s="2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2"/>
    </row>
    <row r="67" spans="1:21" ht="36" customHeight="1">
      <c r="A67" s="2"/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2"/>
    </row>
    <row r="68" spans="1:21" ht="36" customHeight="1">
      <c r="A68" s="13"/>
      <c r="B68" s="1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2"/>
    </row>
    <row r="69" spans="1:21" ht="36" customHeight="1">
      <c r="A69" s="16" t="s">
        <v>37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</sheetData>
  <mergeCells count="66">
    <mergeCell ref="A5:B5"/>
    <mergeCell ref="A1:U1"/>
    <mergeCell ref="A2:U2"/>
    <mergeCell ref="A3:B4"/>
    <mergeCell ref="C3:D3"/>
    <mergeCell ref="E3:F3"/>
    <mergeCell ref="G3:H3"/>
    <mergeCell ref="I3:J3"/>
    <mergeCell ref="K3:L3"/>
    <mergeCell ref="M3:N3"/>
    <mergeCell ref="O3:P3"/>
    <mergeCell ref="Q3:Q4"/>
    <mergeCell ref="R3:R4"/>
    <mergeCell ref="S3:S4"/>
    <mergeCell ref="T3:T4"/>
    <mergeCell ref="U3:U4"/>
    <mergeCell ref="A6:B6"/>
    <mergeCell ref="A7:B7"/>
    <mergeCell ref="A8:U8"/>
    <mergeCell ref="A9:A10"/>
    <mergeCell ref="B9:B10"/>
    <mergeCell ref="C9:D9"/>
    <mergeCell ref="E9:F9"/>
    <mergeCell ref="G9:H9"/>
    <mergeCell ref="I9:J9"/>
    <mergeCell ref="K9:L9"/>
    <mergeCell ref="U9:U10"/>
    <mergeCell ref="A23:U23"/>
    <mergeCell ref="A24:U24"/>
    <mergeCell ref="A25:A26"/>
    <mergeCell ref="B25:B26"/>
    <mergeCell ref="C25:D25"/>
    <mergeCell ref="E25:F25"/>
    <mergeCell ref="G25:H25"/>
    <mergeCell ref="I25:J25"/>
    <mergeCell ref="K25:L25"/>
    <mergeCell ref="M9:N9"/>
    <mergeCell ref="O9:P9"/>
    <mergeCell ref="Q9:Q10"/>
    <mergeCell ref="R9:R10"/>
    <mergeCell ref="S9:S10"/>
    <mergeCell ref="T9:T10"/>
    <mergeCell ref="U25:U26"/>
    <mergeCell ref="A46:U46"/>
    <mergeCell ref="A47:U47"/>
    <mergeCell ref="A48:A49"/>
    <mergeCell ref="B48:B49"/>
    <mergeCell ref="C48:D48"/>
    <mergeCell ref="E48:F48"/>
    <mergeCell ref="G48:H48"/>
    <mergeCell ref="I48:J48"/>
    <mergeCell ref="K48:L48"/>
    <mergeCell ref="M25:N25"/>
    <mergeCell ref="O25:P25"/>
    <mergeCell ref="Q25:Q26"/>
    <mergeCell ref="R25:R26"/>
    <mergeCell ref="S25:S26"/>
    <mergeCell ref="T25:T26"/>
    <mergeCell ref="U48:U49"/>
    <mergeCell ref="A69:U69"/>
    <mergeCell ref="M48:N48"/>
    <mergeCell ref="O48:P48"/>
    <mergeCell ref="Q48:Q49"/>
    <mergeCell ref="R48:R49"/>
    <mergeCell ref="S48:S49"/>
    <mergeCell ref="T48:T49"/>
  </mergeCells>
  <phoneticPr fontId="5" type="noConversion"/>
  <hyperlinks>
    <hyperlink ref="V2" r:id="rId1" xr:uid="{0033434B-5586-4D94-B6BD-44C40CDD22AF}"/>
  </hyperlinks>
  <printOptions horizontalCentered="1"/>
  <pageMargins left="0.39370078740157483" right="0.39370078740157483" top="0.23622047244094491" bottom="0.23622047244094491" header="0.19685039370078741" footer="0.19685039370078741"/>
  <pageSetup paperSize="9" scale="7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陳佳惠</dc:creator>
  <cp:lastModifiedBy>黃肇勳</cp:lastModifiedBy>
  <dcterms:created xsi:type="dcterms:W3CDTF">2024-01-08T05:41:17Z</dcterms:created>
  <dcterms:modified xsi:type="dcterms:W3CDTF">2024-01-11T02:55:51Z</dcterms:modified>
</cp:coreProperties>
</file>